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8160" activeTab="5"/>
  </bookViews>
  <sheets>
    <sheet name="Exercise 1" sheetId="1" r:id="rId1"/>
    <sheet name="Exercise 2" sheetId="2" r:id="rId2"/>
    <sheet name="Exercise 3" sheetId="3" r:id="rId3"/>
    <sheet name="Exercise 4" sheetId="4" r:id="rId4"/>
    <sheet name="Exercise 5" sheetId="5" r:id="rId5"/>
    <sheet name="Problem" sheetId="6" r:id="rId6"/>
  </sheets>
  <definedNames>
    <definedName name="solver_adj" localSheetId="5" hidden="1">'Problem'!#REF!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'Problem'!#REF!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2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<sst xmlns="http://schemas.openxmlformats.org/spreadsheetml/2006/main" count="193" uniqueCount="68">
  <si>
    <t>a</t>
  </si>
  <si>
    <t>I</t>
  </si>
  <si>
    <t>Current</t>
  </si>
  <si>
    <t>Optimal Review Interval (Separate)</t>
  </si>
  <si>
    <t>Optimal Review Interval (Joint)</t>
  </si>
  <si>
    <t>Continuous Review</t>
  </si>
  <si>
    <t>Men</t>
  </si>
  <si>
    <t>Women</t>
  </si>
  <si>
    <t>price</t>
  </si>
  <si>
    <t>cost</t>
  </si>
  <si>
    <t>daily mean</t>
  </si>
  <si>
    <t>daily stdev</t>
  </si>
  <si>
    <t>holding cost</t>
  </si>
  <si>
    <t>review cost</t>
  </si>
  <si>
    <t>L</t>
  </si>
  <si>
    <t>T</t>
  </si>
  <si>
    <t>shipping cost</t>
  </si>
  <si>
    <t>T+L</t>
  </si>
  <si>
    <t>Cu</t>
  </si>
  <si>
    <t>D (yearly demand)</t>
  </si>
  <si>
    <t>EOQ</t>
  </si>
  <si>
    <t>Q*</t>
  </si>
  <si>
    <t>order frequency</t>
  </si>
  <si>
    <t>T (upper bound)</t>
  </si>
  <si>
    <t>Q</t>
  </si>
  <si>
    <t>T (trial)</t>
  </si>
  <si>
    <t>CSL</t>
  </si>
  <si>
    <t>sigma(L)</t>
  </si>
  <si>
    <t>sigma(T+L)</t>
  </si>
  <si>
    <t>ss</t>
  </si>
  <si>
    <t>OUL</t>
  </si>
  <si>
    <t>avg inv</t>
  </si>
  <si>
    <t>inv holding cost</t>
  </si>
  <si>
    <t>total cost</t>
  </si>
  <si>
    <t>yearly maintenance</t>
  </si>
  <si>
    <t>capital investment</t>
  </si>
  <si>
    <t>yearly savings</t>
  </si>
  <si>
    <t>year to recover</t>
  </si>
  <si>
    <t>D</t>
  </si>
  <si>
    <t>O</t>
  </si>
  <si>
    <t>W</t>
  </si>
  <si>
    <t>f</t>
  </si>
  <si>
    <t>Dw</t>
  </si>
  <si>
    <t>Sw</t>
  </si>
  <si>
    <t>H</t>
  </si>
  <si>
    <t xml:space="preserve">D </t>
  </si>
  <si>
    <t>CSL*</t>
  </si>
  <si>
    <t>D(L)</t>
  </si>
  <si>
    <t>S(L)</t>
  </si>
  <si>
    <t>Cd</t>
  </si>
  <si>
    <t>Dd</t>
  </si>
  <si>
    <t>Sd</t>
  </si>
  <si>
    <t>D(T+L)</t>
  </si>
  <si>
    <t>S(T+L)</t>
  </si>
  <si>
    <t>Se</t>
  </si>
  <si>
    <t>NS</t>
  </si>
  <si>
    <t>c</t>
  </si>
  <si>
    <t>GH</t>
  </si>
  <si>
    <t>holding</t>
  </si>
  <si>
    <t>ordering</t>
  </si>
  <si>
    <t>total</t>
  </si>
  <si>
    <t>filling</t>
  </si>
  <si>
    <t>Discount</t>
  </si>
  <si>
    <t>purchasing saving</t>
  </si>
  <si>
    <t>net saving</t>
  </si>
  <si>
    <t>revenue loss</t>
  </si>
  <si>
    <t>Cost</t>
  </si>
  <si>
    <t>SuperCheap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</si>
</sst>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000%"/>
    <numFmt numFmtId="171" formatCode="&quot;$&quot;#,##0"/>
    <numFmt numFmtId="172" formatCode="#,##0.000000"/>
    <numFmt numFmtId="173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8"/>
      <name val="Symbol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4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29" fillId="29" borderId="0" xfId="48" applyNumberFormat="1" applyAlignment="1">
      <alignment/>
    </xf>
    <xf numFmtId="171" fontId="29" fillId="29" borderId="0" xfId="48" applyNumberFormat="1" applyAlignment="1">
      <alignment/>
    </xf>
    <xf numFmtId="0" fontId="22" fillId="0" borderId="0" xfId="0" applyFont="1" applyAlignment="1">
      <alignment/>
    </xf>
    <xf numFmtId="0" fontId="29" fillId="29" borderId="0" xfId="48" applyAlignment="1">
      <alignment/>
    </xf>
    <xf numFmtId="0" fontId="41" fillId="29" borderId="0" xfId="48" applyFont="1" applyAlignment="1">
      <alignment/>
    </xf>
    <xf numFmtId="172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71" fontId="22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39" fillId="0" borderId="0" xfId="0" applyFont="1" applyAlignment="1">
      <alignment/>
    </xf>
    <xf numFmtId="9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6" sqref="B6"/>
    </sheetView>
  </sheetViews>
  <sheetFormatPr defaultColWidth="9.140625" defaultRowHeight="15"/>
  <sheetData>
    <row r="1" spans="1:2" ht="15">
      <c r="A1" s="4" t="s">
        <v>38</v>
      </c>
      <c r="B1" s="4">
        <v>64000</v>
      </c>
    </row>
    <row r="2" spans="1:2" ht="15">
      <c r="A2" s="4" t="s">
        <v>39</v>
      </c>
      <c r="B2" s="4">
        <v>1000</v>
      </c>
    </row>
    <row r="3" spans="1:2" ht="15">
      <c r="A3" s="4" t="s">
        <v>1</v>
      </c>
      <c r="B3" s="4">
        <f>40*0.05</f>
        <v>2</v>
      </c>
    </row>
    <row r="4" spans="1:2" ht="15">
      <c r="A4" s="4" t="s">
        <v>40</v>
      </c>
      <c r="B4" s="4">
        <f>50000/100000*12</f>
        <v>6</v>
      </c>
    </row>
    <row r="5" spans="1:2" ht="15">
      <c r="A5" s="4"/>
      <c r="B5" s="4"/>
    </row>
    <row r="6" spans="1:2" ht="15">
      <c r="A6" s="3" t="s">
        <v>24</v>
      </c>
      <c r="B6" s="1">
        <f>SQRT(2*B1*B2/(B3+B4))</f>
        <v>4000</v>
      </c>
    </row>
    <row r="7" spans="1:2" ht="15">
      <c r="A7" s="3" t="s">
        <v>41</v>
      </c>
      <c r="B7" s="1">
        <f>B1/B6</f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14.140625" style="0" bestFit="1" customWidth="1"/>
    <col min="3" max="3" width="12.421875" style="0" customWidth="1"/>
    <col min="4" max="4" width="12.140625" style="0" bestFit="1" customWidth="1"/>
    <col min="5" max="5" width="14.7109375" style="0" bestFit="1" customWidth="1"/>
  </cols>
  <sheetData>
    <row r="1" spans="2:3" s="4" customFormat="1" ht="15">
      <c r="B1" s="18" t="s">
        <v>2</v>
      </c>
      <c r="C1" s="18" t="s">
        <v>67</v>
      </c>
    </row>
    <row r="2" spans="1:3" ht="15">
      <c r="A2" s="4" t="s">
        <v>39</v>
      </c>
      <c r="B2" s="5">
        <v>4000</v>
      </c>
      <c r="C2" s="5">
        <v>1000</v>
      </c>
    </row>
    <row r="3" spans="1:3" ht="15">
      <c r="A3" s="4" t="s">
        <v>38</v>
      </c>
      <c r="B3">
        <f>50*5*800</f>
        <v>200000</v>
      </c>
      <c r="C3" s="4">
        <f>50*5*800</f>
        <v>200000</v>
      </c>
    </row>
    <row r="4" spans="1:3" ht="15">
      <c r="A4" s="4" t="s">
        <v>44</v>
      </c>
      <c r="B4" s="5">
        <v>100</v>
      </c>
      <c r="C4" s="5">
        <v>100</v>
      </c>
    </row>
    <row r="6" spans="1:4" ht="15">
      <c r="A6" s="4" t="s">
        <v>20</v>
      </c>
      <c r="B6" s="1">
        <f>SQRT(2*B3*B2/B4)</f>
        <v>4000</v>
      </c>
      <c r="C6" s="11">
        <f>SQRT(2*C3*C2/C4)</f>
        <v>2000</v>
      </c>
      <c r="D6" s="4"/>
    </row>
    <row r="7" spans="1:3" ht="15">
      <c r="A7" s="4" t="s">
        <v>41</v>
      </c>
      <c r="B7" s="1">
        <f>B3/B6</f>
        <v>50</v>
      </c>
      <c r="C7" s="11">
        <f>C3/C6</f>
        <v>100</v>
      </c>
    </row>
    <row r="8" spans="1:3" ht="15">
      <c r="A8" s="4" t="s">
        <v>66</v>
      </c>
      <c r="B8" s="5">
        <f>B6/2*B4+B2*B7</f>
        <v>400000</v>
      </c>
      <c r="C8" s="6">
        <f>C6/2*C4+C2*C7</f>
        <v>200000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6.7109375" style="0" bestFit="1" customWidth="1"/>
    <col min="2" max="2" width="10.140625" style="0" bestFit="1" customWidth="1"/>
    <col min="4" max="4" width="12.28125" style="0" bestFit="1" customWidth="1"/>
  </cols>
  <sheetData>
    <row r="1" spans="1:4" ht="15">
      <c r="A1" s="18" t="s">
        <v>55</v>
      </c>
      <c r="D1" s="18" t="s">
        <v>57</v>
      </c>
    </row>
    <row r="2" spans="1:5" ht="15">
      <c r="A2" s="4" t="s">
        <v>38</v>
      </c>
      <c r="B2">
        <v>100000</v>
      </c>
      <c r="D2" s="4" t="s">
        <v>38</v>
      </c>
      <c r="E2">
        <v>100000</v>
      </c>
    </row>
    <row r="3" spans="1:5" ht="15">
      <c r="A3" s="4" t="s">
        <v>56</v>
      </c>
      <c r="B3" s="5">
        <v>10</v>
      </c>
      <c r="D3" s="4" t="s">
        <v>56</v>
      </c>
      <c r="E3" s="5">
        <v>5</v>
      </c>
    </row>
    <row r="4" spans="1:5" ht="15">
      <c r="A4" s="4" t="s">
        <v>24</v>
      </c>
      <c r="B4">
        <v>10000</v>
      </c>
      <c r="D4" s="4" t="s">
        <v>24</v>
      </c>
      <c r="E4" s="4">
        <f>B4</f>
        <v>10000</v>
      </c>
    </row>
    <row r="5" spans="1:5" ht="15">
      <c r="A5" s="4" t="s">
        <v>39</v>
      </c>
      <c r="B5" s="5">
        <v>1000</v>
      </c>
      <c r="D5" s="4" t="s">
        <v>39</v>
      </c>
      <c r="E5" s="5">
        <v>3000</v>
      </c>
    </row>
    <row r="6" spans="1:5" ht="15">
      <c r="A6" s="2" t="s">
        <v>0</v>
      </c>
      <c r="B6" s="19">
        <v>0.2</v>
      </c>
      <c r="D6" s="4" t="s">
        <v>44</v>
      </c>
      <c r="E6" s="5">
        <v>1</v>
      </c>
    </row>
    <row r="7" spans="1:5" ht="15">
      <c r="A7" s="4" t="s">
        <v>44</v>
      </c>
      <c r="B7" s="5">
        <f>B6*B3</f>
        <v>2</v>
      </c>
      <c r="D7" s="4" t="s">
        <v>41</v>
      </c>
      <c r="E7" s="8">
        <f>B8</f>
        <v>10</v>
      </c>
    </row>
    <row r="8" spans="1:2" s="4" customFormat="1" ht="15">
      <c r="A8" s="4" t="s">
        <v>41</v>
      </c>
      <c r="B8" s="8">
        <f>B2/B4</f>
        <v>10</v>
      </c>
    </row>
    <row r="10" spans="1:5" ht="15">
      <c r="A10" s="4" t="s">
        <v>58</v>
      </c>
      <c r="B10" s="5">
        <f>B4/2*B6*B3</f>
        <v>10000</v>
      </c>
      <c r="D10" s="4" t="s">
        <v>58</v>
      </c>
      <c r="E10" s="5">
        <f>E4/2*E6</f>
        <v>5000</v>
      </c>
    </row>
    <row r="11" spans="1:5" ht="15">
      <c r="A11" s="4" t="s">
        <v>59</v>
      </c>
      <c r="B11" s="5">
        <f>B8*B5</f>
        <v>10000</v>
      </c>
      <c r="D11" s="4" t="s">
        <v>61</v>
      </c>
      <c r="E11" s="5">
        <f>E7*E5</f>
        <v>30000</v>
      </c>
    </row>
    <row r="12" spans="1:5" ht="15">
      <c r="A12" s="4" t="s">
        <v>60</v>
      </c>
      <c r="B12" s="6">
        <f>SUM(B10:B11)</f>
        <v>20000</v>
      </c>
      <c r="D12" s="4" t="s">
        <v>60</v>
      </c>
      <c r="E12" s="6">
        <f>SUM(E10:E11)</f>
        <v>35000</v>
      </c>
    </row>
    <row r="14" ht="15">
      <c r="A14" s="18" t="s">
        <v>62</v>
      </c>
    </row>
    <row r="15" spans="1:5" ht="15">
      <c r="A15" s="18" t="s">
        <v>55</v>
      </c>
      <c r="B15" s="4"/>
      <c r="C15" s="4"/>
      <c r="D15" s="18" t="s">
        <v>57</v>
      </c>
      <c r="E15" s="4"/>
    </row>
    <row r="16" spans="1:5" ht="15">
      <c r="A16" s="4" t="s">
        <v>38</v>
      </c>
      <c r="B16" s="4">
        <v>100000</v>
      </c>
      <c r="C16" s="4"/>
      <c r="D16" s="4" t="s">
        <v>38</v>
      </c>
      <c r="E16" s="4">
        <v>100000</v>
      </c>
    </row>
    <row r="17" spans="1:5" ht="15">
      <c r="A17" s="4" t="s">
        <v>56</v>
      </c>
      <c r="B17" s="20">
        <v>9.94</v>
      </c>
      <c r="C17" s="4"/>
      <c r="D17" s="4" t="s">
        <v>56</v>
      </c>
      <c r="E17" s="5">
        <v>5</v>
      </c>
    </row>
    <row r="18" spans="1:5" ht="15">
      <c r="A18" s="4" t="s">
        <v>24</v>
      </c>
      <c r="B18" s="4">
        <v>20000</v>
      </c>
      <c r="C18" s="4"/>
      <c r="D18" s="4" t="s">
        <v>24</v>
      </c>
      <c r="E18" s="4">
        <f>B18</f>
        <v>20000</v>
      </c>
    </row>
    <row r="19" spans="1:5" ht="15">
      <c r="A19" s="4" t="s">
        <v>39</v>
      </c>
      <c r="B19" s="5">
        <v>1000</v>
      </c>
      <c r="C19" s="4"/>
      <c r="D19" s="4" t="s">
        <v>39</v>
      </c>
      <c r="E19" s="5">
        <v>3000</v>
      </c>
    </row>
    <row r="20" spans="1:5" ht="15">
      <c r="A20" s="2" t="s">
        <v>0</v>
      </c>
      <c r="B20" s="19">
        <v>0.2</v>
      </c>
      <c r="C20" s="4"/>
      <c r="D20" s="4" t="s">
        <v>44</v>
      </c>
      <c r="E20" s="5">
        <v>1</v>
      </c>
    </row>
    <row r="21" spans="1:5" ht="15">
      <c r="A21" s="4" t="s">
        <v>44</v>
      </c>
      <c r="B21" s="20">
        <f>B20*B17</f>
        <v>1.988</v>
      </c>
      <c r="C21" s="4"/>
      <c r="D21" s="4" t="s">
        <v>41</v>
      </c>
      <c r="E21" s="8">
        <f>B22</f>
        <v>5</v>
      </c>
    </row>
    <row r="22" spans="1:5" ht="15">
      <c r="A22" s="4" t="s">
        <v>41</v>
      </c>
      <c r="B22" s="8">
        <f>B16/B18</f>
        <v>5</v>
      </c>
      <c r="C22" s="4"/>
      <c r="D22" s="4"/>
      <c r="E22" s="4"/>
    </row>
    <row r="24" spans="1:5" ht="15">
      <c r="A24" s="4" t="s">
        <v>58</v>
      </c>
      <c r="B24" s="5">
        <f>B18/2*B20*B17</f>
        <v>19880</v>
      </c>
      <c r="D24" s="4" t="s">
        <v>58</v>
      </c>
      <c r="E24" s="5">
        <f>E18/2*E20</f>
        <v>10000</v>
      </c>
    </row>
    <row r="25" spans="1:5" ht="15">
      <c r="A25" s="4" t="s">
        <v>59</v>
      </c>
      <c r="B25" s="5">
        <f>B19*B22</f>
        <v>5000</v>
      </c>
      <c r="D25" s="4" t="s">
        <v>61</v>
      </c>
      <c r="E25" s="5">
        <f>E19*E21</f>
        <v>15000</v>
      </c>
    </row>
    <row r="26" spans="1:5" ht="15">
      <c r="A26" s="4" t="s">
        <v>60</v>
      </c>
      <c r="B26" s="5">
        <f>SUM(B24:B25)</f>
        <v>24880</v>
      </c>
      <c r="D26" s="4" t="s">
        <v>60</v>
      </c>
      <c r="E26" s="5">
        <f>SUM(E24:E25)</f>
        <v>25000</v>
      </c>
    </row>
    <row r="27" spans="1:5" ht="15">
      <c r="A27" s="4" t="s">
        <v>63</v>
      </c>
      <c r="B27" s="5">
        <f>(B3-B17)*B2</f>
        <v>6000.00000000005</v>
      </c>
      <c r="D27" s="4" t="s">
        <v>65</v>
      </c>
      <c r="E27" s="5">
        <f>B27</f>
        <v>6000.00000000005</v>
      </c>
    </row>
    <row r="28" spans="1:5" ht="15">
      <c r="A28" s="4" t="s">
        <v>64</v>
      </c>
      <c r="B28" s="6">
        <f>B27-(B26-B12)</f>
        <v>1120.00000000005</v>
      </c>
      <c r="D28" s="4" t="s">
        <v>64</v>
      </c>
      <c r="E28" s="6">
        <f>E12-E26-E27</f>
        <v>3999.99999999995</v>
      </c>
    </row>
  </sheetData>
  <sheetProtection/>
  <printOptions/>
  <pageMargins left="0.7" right="0.7" top="0.75" bottom="0.75" header="0.3" footer="0.3"/>
  <pageSetup orientation="portrait" paperSize="9"/>
  <legacyDrawing r:id="rId3"/>
  <oleObjects>
    <oleObject progId="Equation.3" shapeId="21976894" r:id="rId1"/>
    <oleObject progId="Equation.3" shapeId="2197860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9.140625" defaultRowHeight="15"/>
  <sheetData>
    <row r="1" spans="1:2" ht="15">
      <c r="A1" s="4" t="s">
        <v>50</v>
      </c>
      <c r="B1" s="4">
        <v>15</v>
      </c>
    </row>
    <row r="2" spans="1:2" ht="15">
      <c r="A2" s="4" t="s">
        <v>51</v>
      </c>
      <c r="B2" s="4">
        <v>10</v>
      </c>
    </row>
    <row r="3" spans="1:2" ht="15">
      <c r="A3" s="4" t="s">
        <v>14</v>
      </c>
      <c r="B3" s="4">
        <v>5</v>
      </c>
    </row>
    <row r="4" spans="1:2" s="4" customFormat="1" ht="15">
      <c r="A4" s="4" t="s">
        <v>54</v>
      </c>
      <c r="B4" s="4">
        <v>2</v>
      </c>
    </row>
    <row r="5" spans="1:2" ht="15">
      <c r="A5" s="4" t="s">
        <v>44</v>
      </c>
      <c r="B5" s="4">
        <v>17</v>
      </c>
    </row>
    <row r="6" spans="1:2" ht="15">
      <c r="A6" s="4" t="s">
        <v>39</v>
      </c>
      <c r="B6" s="4">
        <v>315</v>
      </c>
    </row>
    <row r="7" spans="1:2" ht="15">
      <c r="A7" s="4" t="s">
        <v>26</v>
      </c>
      <c r="B7" s="4">
        <v>0.95</v>
      </c>
    </row>
    <row r="8" spans="1:2" ht="15">
      <c r="A8" s="4"/>
      <c r="B8" s="4"/>
    </row>
    <row r="9" spans="1:2" ht="15">
      <c r="A9" s="4" t="s">
        <v>38</v>
      </c>
      <c r="B9" s="4">
        <f>B1*365</f>
        <v>5475</v>
      </c>
    </row>
    <row r="10" spans="1:2" ht="15">
      <c r="A10" s="4" t="s">
        <v>24</v>
      </c>
      <c r="B10" s="4">
        <f>ROUND(SQRT(2*B9*B6/B5),0)</f>
        <v>450</v>
      </c>
    </row>
    <row r="11" spans="1:2" ht="15">
      <c r="A11" s="3" t="s">
        <v>15</v>
      </c>
      <c r="B11" s="1">
        <f>365/(B9/B10)</f>
        <v>30</v>
      </c>
    </row>
    <row r="12" spans="1:2" ht="15">
      <c r="A12" s="4" t="s">
        <v>52</v>
      </c>
      <c r="B12" s="4">
        <f>B1*(B11+B3)</f>
        <v>525</v>
      </c>
    </row>
    <row r="13" spans="1:2" ht="15">
      <c r="A13" s="4" t="s">
        <v>53</v>
      </c>
      <c r="B13" s="4">
        <f>SQRT((B11+B3)*B2^2+B1^2*B4^2)</f>
        <v>66.332495807108</v>
      </c>
    </row>
    <row r="14" spans="1:2" ht="15">
      <c r="A14" s="3" t="s">
        <v>30</v>
      </c>
      <c r="B14" s="1">
        <f>ROUND(NORMINV(B7,B12,B13),0)</f>
        <v>634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6" sqref="B16"/>
    </sheetView>
  </sheetViews>
  <sheetFormatPr defaultColWidth="9.140625" defaultRowHeight="15"/>
  <cols>
    <col min="10" max="10" width="14.421875" style="4" bestFit="1" customWidth="1"/>
    <col min="11" max="11" width="20.7109375" style="0" bestFit="1" customWidth="1"/>
  </cols>
  <sheetData>
    <row r="1" spans="1:2" ht="15">
      <c r="A1" s="4" t="s">
        <v>42</v>
      </c>
      <c r="B1" s="4">
        <v>1000</v>
      </c>
    </row>
    <row r="2" spans="1:2" ht="15">
      <c r="A2" s="4" t="s">
        <v>43</v>
      </c>
      <c r="B2" s="4">
        <v>50</v>
      </c>
    </row>
    <row r="3" spans="1:2" ht="15">
      <c r="A3" s="4" t="s">
        <v>39</v>
      </c>
      <c r="B3" s="4">
        <v>130</v>
      </c>
    </row>
    <row r="4" spans="1:2" ht="15">
      <c r="A4" s="4" t="s">
        <v>44</v>
      </c>
      <c r="B4" s="4">
        <v>1.5</v>
      </c>
    </row>
    <row r="5" spans="1:2" ht="15">
      <c r="A5" s="4" t="s">
        <v>14</v>
      </c>
      <c r="B5" s="4">
        <v>2</v>
      </c>
    </row>
    <row r="6" spans="1:2" ht="15">
      <c r="A6" s="4" t="s">
        <v>24</v>
      </c>
      <c r="B6" s="4">
        <v>3000</v>
      </c>
    </row>
    <row r="7" spans="1:2" ht="15">
      <c r="A7" s="4" t="s">
        <v>18</v>
      </c>
      <c r="B7" s="4">
        <v>1.7</v>
      </c>
    </row>
    <row r="8" spans="1:2" ht="15">
      <c r="A8" s="4" t="s">
        <v>45</v>
      </c>
      <c r="B8" s="4">
        <f>B1*52</f>
        <v>52000</v>
      </c>
    </row>
    <row r="9" spans="1:2" ht="15">
      <c r="A9" s="4"/>
      <c r="B9" s="4"/>
    </row>
    <row r="10" spans="1:2" ht="15">
      <c r="A10" s="3" t="s">
        <v>46</v>
      </c>
      <c r="B10" s="1">
        <f>B8*B7/(B8*B7+B6*B4)</f>
        <v>0.9515608180839612</v>
      </c>
    </row>
    <row r="11" spans="1:2" ht="15">
      <c r="A11" s="4" t="s">
        <v>47</v>
      </c>
      <c r="B11" s="4">
        <f>B1*B5</f>
        <v>2000</v>
      </c>
    </row>
    <row r="12" spans="1:2" ht="15">
      <c r="A12" s="4" t="s">
        <v>48</v>
      </c>
      <c r="B12" s="4">
        <f>SQRT(B5)*B2</f>
        <v>70.71067811865476</v>
      </c>
    </row>
    <row r="13" spans="1:2" ht="15">
      <c r="A13" s="3" t="s">
        <v>29</v>
      </c>
      <c r="B13" s="1">
        <f>ROUND(NORMINV(B10,B11,B12)-B11,0)</f>
        <v>117</v>
      </c>
    </row>
    <row r="14" spans="1:2" ht="15">
      <c r="A14" s="4"/>
      <c r="B14" s="4"/>
    </row>
    <row r="15" spans="1:2" ht="15">
      <c r="A15" s="4" t="s">
        <v>49</v>
      </c>
      <c r="B15" s="4">
        <v>1</v>
      </c>
    </row>
    <row r="16" spans="1:2" ht="15">
      <c r="A16" s="3" t="s">
        <v>46</v>
      </c>
      <c r="B16" s="1">
        <f>1-B6*B4/(B8*B15)</f>
        <v>0.9134615384615384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9.421875" style="0" customWidth="1"/>
    <col min="6" max="6" width="14.421875" style="0" bestFit="1" customWidth="1"/>
    <col min="13" max="13" width="15.7109375" style="0" bestFit="1" customWidth="1"/>
  </cols>
  <sheetData>
    <row r="1" spans="1:17" ht="15">
      <c r="A1" s="7" t="s">
        <v>2</v>
      </c>
      <c r="B1" s="7"/>
      <c r="C1" s="7"/>
      <c r="D1" s="4"/>
      <c r="E1" s="7" t="s">
        <v>3</v>
      </c>
      <c r="F1" s="7"/>
      <c r="G1" s="7"/>
      <c r="H1" s="4"/>
      <c r="I1" s="7" t="s">
        <v>4</v>
      </c>
      <c r="J1" s="7"/>
      <c r="K1" s="7"/>
      <c r="L1" s="4"/>
      <c r="M1" s="7" t="s">
        <v>5</v>
      </c>
      <c r="N1" s="7"/>
      <c r="O1" s="7"/>
      <c r="P1" s="4"/>
      <c r="Q1" s="4"/>
    </row>
    <row r="2" spans="1:17" ht="15">
      <c r="A2" s="4"/>
      <c r="B2" s="4" t="s">
        <v>6</v>
      </c>
      <c r="C2" s="4" t="s">
        <v>7</v>
      </c>
      <c r="D2" s="4"/>
      <c r="E2" s="4"/>
      <c r="F2" s="4" t="s">
        <v>6</v>
      </c>
      <c r="G2" s="4" t="s">
        <v>7</v>
      </c>
      <c r="H2" s="4"/>
      <c r="I2" s="4"/>
      <c r="J2" s="4" t="s">
        <v>6</v>
      </c>
      <c r="K2" s="4" t="s">
        <v>7</v>
      </c>
      <c r="L2" s="4"/>
      <c r="M2" s="4"/>
      <c r="N2" s="4" t="s">
        <v>6</v>
      </c>
      <c r="O2" s="4" t="s">
        <v>7</v>
      </c>
      <c r="P2" s="4"/>
      <c r="Q2" s="4"/>
    </row>
    <row r="3" spans="1:17" ht="15">
      <c r="A3" s="4" t="s">
        <v>8</v>
      </c>
      <c r="B3" s="5">
        <v>100</v>
      </c>
      <c r="C3" s="5">
        <v>120</v>
      </c>
      <c r="D3" s="4"/>
      <c r="E3" s="4" t="s">
        <v>8</v>
      </c>
      <c r="F3" s="5">
        <v>100</v>
      </c>
      <c r="G3" s="5">
        <v>120</v>
      </c>
      <c r="H3" s="4"/>
      <c r="I3" s="4" t="s">
        <v>8</v>
      </c>
      <c r="J3" s="5">
        <v>100</v>
      </c>
      <c r="K3" s="5">
        <v>120</v>
      </c>
      <c r="L3" s="4"/>
      <c r="M3" s="4" t="s">
        <v>8</v>
      </c>
      <c r="N3" s="5">
        <v>100</v>
      </c>
      <c r="O3" s="5">
        <v>120</v>
      </c>
      <c r="P3" s="4"/>
      <c r="Q3" s="4"/>
    </row>
    <row r="4" spans="1:17" ht="15">
      <c r="A4" s="4" t="s">
        <v>9</v>
      </c>
      <c r="B4" s="5">
        <v>200</v>
      </c>
      <c r="C4" s="5">
        <v>250</v>
      </c>
      <c r="D4" s="4"/>
      <c r="E4" s="4" t="s">
        <v>9</v>
      </c>
      <c r="F4" s="5">
        <v>200</v>
      </c>
      <c r="G4" s="5">
        <v>250</v>
      </c>
      <c r="H4" s="4"/>
      <c r="I4" s="4" t="s">
        <v>9</v>
      </c>
      <c r="J4" s="5">
        <v>200</v>
      </c>
      <c r="K4" s="5">
        <v>250</v>
      </c>
      <c r="L4" s="4"/>
      <c r="M4" s="4" t="s">
        <v>9</v>
      </c>
      <c r="N4" s="5">
        <v>200</v>
      </c>
      <c r="O4" s="5">
        <v>250</v>
      </c>
      <c r="P4" s="4"/>
      <c r="Q4" s="4"/>
    </row>
    <row r="5" spans="1:17" ht="15">
      <c r="A5" s="4" t="s">
        <v>10</v>
      </c>
      <c r="B5" s="4">
        <v>120</v>
      </c>
      <c r="C5" s="4">
        <v>80</v>
      </c>
      <c r="D5" s="4"/>
      <c r="E5" s="4" t="s">
        <v>10</v>
      </c>
      <c r="F5" s="4">
        <v>120</v>
      </c>
      <c r="G5" s="4">
        <v>80</v>
      </c>
      <c r="H5" s="4"/>
      <c r="I5" s="4" t="s">
        <v>10</v>
      </c>
      <c r="J5" s="4">
        <v>120</v>
      </c>
      <c r="K5" s="4">
        <v>80</v>
      </c>
      <c r="L5" s="4"/>
      <c r="M5" s="4" t="s">
        <v>10</v>
      </c>
      <c r="N5" s="4">
        <v>120</v>
      </c>
      <c r="O5" s="4">
        <v>80</v>
      </c>
      <c r="P5" s="4"/>
      <c r="Q5" s="4"/>
    </row>
    <row r="6" spans="1:17" ht="15">
      <c r="A6" s="4" t="s">
        <v>11</v>
      </c>
      <c r="B6" s="4">
        <v>100</v>
      </c>
      <c r="C6" s="4">
        <v>60</v>
      </c>
      <c r="D6" s="4"/>
      <c r="E6" s="4" t="s">
        <v>11</v>
      </c>
      <c r="F6" s="4">
        <v>100</v>
      </c>
      <c r="G6" s="4">
        <v>60</v>
      </c>
      <c r="H6" s="4"/>
      <c r="I6" s="4" t="s">
        <v>11</v>
      </c>
      <c r="J6" s="4">
        <v>100</v>
      </c>
      <c r="K6" s="4">
        <v>60</v>
      </c>
      <c r="L6" s="4"/>
      <c r="M6" s="4" t="s">
        <v>11</v>
      </c>
      <c r="N6" s="4">
        <v>100</v>
      </c>
      <c r="O6" s="4">
        <v>60</v>
      </c>
      <c r="P6" s="4"/>
      <c r="Q6" s="4"/>
    </row>
    <row r="7" spans="1:17" ht="15">
      <c r="A7" s="4" t="s">
        <v>12</v>
      </c>
      <c r="B7" s="5">
        <v>40</v>
      </c>
      <c r="C7" s="5">
        <v>45</v>
      </c>
      <c r="D7" s="4"/>
      <c r="E7" s="4" t="s">
        <v>12</v>
      </c>
      <c r="F7" s="5">
        <v>40</v>
      </c>
      <c r="G7" s="5">
        <v>45</v>
      </c>
      <c r="H7" s="4"/>
      <c r="I7" s="4" t="s">
        <v>12</v>
      </c>
      <c r="J7" s="5">
        <v>40</v>
      </c>
      <c r="K7" s="5">
        <v>45</v>
      </c>
      <c r="L7" s="4"/>
      <c r="M7" s="4" t="s">
        <v>12</v>
      </c>
      <c r="N7" s="5">
        <v>40</v>
      </c>
      <c r="O7" s="5">
        <v>45</v>
      </c>
      <c r="P7" s="4"/>
      <c r="Q7" s="4"/>
    </row>
    <row r="8" spans="1:17" ht="15">
      <c r="A8" s="4" t="s">
        <v>13</v>
      </c>
      <c r="B8" s="5">
        <f>1000*60%</f>
        <v>600</v>
      </c>
      <c r="C8" s="5">
        <f>1000*40%</f>
        <v>400</v>
      </c>
      <c r="D8" s="4"/>
      <c r="E8" s="4" t="s">
        <v>13</v>
      </c>
      <c r="F8" s="5">
        <f>1000*60%</f>
        <v>600</v>
      </c>
      <c r="G8" s="5">
        <f>1000*40%</f>
        <v>400</v>
      </c>
      <c r="H8" s="4"/>
      <c r="I8" s="4" t="s">
        <v>13</v>
      </c>
      <c r="J8" s="5">
        <f>1000*60%</f>
        <v>600</v>
      </c>
      <c r="K8" s="5">
        <f>1000*40%</f>
        <v>400</v>
      </c>
      <c r="L8" s="4"/>
      <c r="M8" s="4" t="s">
        <v>13</v>
      </c>
      <c r="N8" s="5">
        <f>1000*60%</f>
        <v>600</v>
      </c>
      <c r="O8" s="5">
        <f>1000*40%</f>
        <v>400</v>
      </c>
      <c r="P8" s="4"/>
      <c r="Q8" s="4"/>
    </row>
    <row r="9" spans="1:17" ht="15">
      <c r="A9" s="4" t="s">
        <v>14</v>
      </c>
      <c r="B9" s="4">
        <v>5</v>
      </c>
      <c r="C9" s="4">
        <v>5</v>
      </c>
      <c r="D9" s="4"/>
      <c r="E9" s="4" t="s">
        <v>14</v>
      </c>
      <c r="F9" s="8">
        <v>3</v>
      </c>
      <c r="G9" s="8">
        <v>5</v>
      </c>
      <c r="H9" s="4"/>
      <c r="I9" s="4" t="s">
        <v>14</v>
      </c>
      <c r="J9" s="9">
        <f>K9</f>
        <v>5</v>
      </c>
      <c r="K9" s="9">
        <v>5</v>
      </c>
      <c r="L9" s="4"/>
      <c r="M9" s="4" t="s">
        <v>14</v>
      </c>
      <c r="N9" s="8">
        <v>3</v>
      </c>
      <c r="O9" s="8">
        <v>5</v>
      </c>
      <c r="P9" s="4"/>
      <c r="Q9" s="4"/>
    </row>
    <row r="10" spans="1:17" ht="15">
      <c r="A10" s="4" t="s">
        <v>15</v>
      </c>
      <c r="B10" s="4">
        <v>30</v>
      </c>
      <c r="C10" s="4">
        <v>30</v>
      </c>
      <c r="D10" s="4"/>
      <c r="E10" s="4" t="s">
        <v>16</v>
      </c>
      <c r="F10" s="5">
        <v>1500</v>
      </c>
      <c r="G10" s="5">
        <v>1700</v>
      </c>
      <c r="H10" s="4"/>
      <c r="I10" s="4" t="s">
        <v>16</v>
      </c>
      <c r="J10" s="10">
        <f>3000/2</f>
        <v>1500</v>
      </c>
      <c r="K10" s="10">
        <f>3000/2</f>
        <v>1500</v>
      </c>
      <c r="L10" s="4"/>
      <c r="M10" s="4" t="s">
        <v>16</v>
      </c>
      <c r="N10" s="5">
        <v>1500</v>
      </c>
      <c r="O10" s="5">
        <v>1700</v>
      </c>
      <c r="P10" s="4"/>
      <c r="Q10" s="4"/>
    </row>
    <row r="11" spans="1:17" ht="15">
      <c r="A11" s="4" t="s">
        <v>17</v>
      </c>
      <c r="B11" s="4">
        <f>B10+B9</f>
        <v>35</v>
      </c>
      <c r="C11" s="4">
        <f>C10+C9</f>
        <v>35</v>
      </c>
      <c r="D11" s="4"/>
      <c r="E11" s="4" t="s">
        <v>18</v>
      </c>
      <c r="F11" s="5">
        <v>100</v>
      </c>
      <c r="G11" s="5">
        <v>130</v>
      </c>
      <c r="H11" s="4"/>
      <c r="I11" s="4" t="s">
        <v>18</v>
      </c>
      <c r="J11" s="5">
        <v>100</v>
      </c>
      <c r="K11" s="5">
        <v>130</v>
      </c>
      <c r="L11" s="4"/>
      <c r="M11" s="4" t="s">
        <v>18</v>
      </c>
      <c r="N11" s="5">
        <v>100</v>
      </c>
      <c r="O11" s="5">
        <v>130</v>
      </c>
      <c r="P11" s="4"/>
      <c r="Q11" s="4"/>
    </row>
    <row r="12" spans="1:17" ht="15">
      <c r="A12" s="4" t="s">
        <v>18</v>
      </c>
      <c r="B12" s="5">
        <f>B4-B3</f>
        <v>100</v>
      </c>
      <c r="C12" s="5">
        <f>C4-C3</f>
        <v>130</v>
      </c>
      <c r="D12" s="4"/>
      <c r="E12" s="4" t="s">
        <v>19</v>
      </c>
      <c r="F12" s="11">
        <f>F5*365</f>
        <v>43800</v>
      </c>
      <c r="G12" s="11">
        <f>G5*365</f>
        <v>29200</v>
      </c>
      <c r="H12" s="4"/>
      <c r="I12" s="4" t="s">
        <v>19</v>
      </c>
      <c r="J12" s="11">
        <f>J5*365</f>
        <v>43800</v>
      </c>
      <c r="K12" s="11">
        <f>K5*365</f>
        <v>29200</v>
      </c>
      <c r="L12" s="4"/>
      <c r="M12" s="4" t="s">
        <v>19</v>
      </c>
      <c r="N12" s="11">
        <f>N5*365</f>
        <v>43800</v>
      </c>
      <c r="O12" s="11">
        <f>O5*365</f>
        <v>29200</v>
      </c>
      <c r="P12" s="4"/>
      <c r="Q12" s="4"/>
    </row>
    <row r="13" spans="1:17" ht="15">
      <c r="A13" s="4" t="s">
        <v>19</v>
      </c>
      <c r="B13" s="4">
        <f>B5*365</f>
        <v>43800</v>
      </c>
      <c r="C13" s="4">
        <f>C5*365</f>
        <v>29200</v>
      </c>
      <c r="D13" s="4"/>
      <c r="E13" s="4" t="s">
        <v>20</v>
      </c>
      <c r="F13" s="11">
        <f>SQRT(2*F12*(F8+F10)/F7)</f>
        <v>2144.527920079382</v>
      </c>
      <c r="G13" s="11">
        <f>SQRT(2*G12*(G8+G10)/G7)</f>
        <v>1650.8583625899992</v>
      </c>
      <c r="H13" s="4"/>
      <c r="I13" s="4" t="s">
        <v>20</v>
      </c>
      <c r="J13" s="11">
        <f>SQRT(2*J12*(J8+J10)/J7)</f>
        <v>2144.527920079382</v>
      </c>
      <c r="K13" s="11">
        <f>SQRT(2*K12*(K8+K10)/K7)</f>
        <v>1570.2795221799774</v>
      </c>
      <c r="L13" s="4"/>
      <c r="M13" s="4" t="s">
        <v>21</v>
      </c>
      <c r="N13" s="11">
        <f>ROUND(SQRT(2*N12*(N8+N10)/N7),0)</f>
        <v>2145</v>
      </c>
      <c r="O13" s="11">
        <f>ROUND(SQRT(2*O12*(O8+O10)/O7),0)</f>
        <v>1651</v>
      </c>
      <c r="P13" s="4"/>
      <c r="Q13" s="4"/>
    </row>
    <row r="14" spans="1:17" ht="15">
      <c r="A14" s="4" t="s">
        <v>22</v>
      </c>
      <c r="B14" s="4">
        <f>365/B10</f>
        <v>12.166666666666666</v>
      </c>
      <c r="C14" s="4">
        <f>365/C10</f>
        <v>12.166666666666666</v>
      </c>
      <c r="D14" s="4"/>
      <c r="E14" s="4" t="s">
        <v>23</v>
      </c>
      <c r="F14" s="11">
        <f>F13/F5</f>
        <v>17.871066000661518</v>
      </c>
      <c r="G14" s="11">
        <f>G13/G5</f>
        <v>20.635729532374988</v>
      </c>
      <c r="H14" s="4"/>
      <c r="I14" s="4" t="s">
        <v>23</v>
      </c>
      <c r="J14" s="11">
        <f>J13/J5</f>
        <v>17.871066000661518</v>
      </c>
      <c r="K14" s="11">
        <f>K13/K5</f>
        <v>19.62849402724972</v>
      </c>
      <c r="L14" s="4"/>
      <c r="M14" s="4" t="s">
        <v>22</v>
      </c>
      <c r="N14" s="11">
        <f>N12/N13</f>
        <v>20.41958041958042</v>
      </c>
      <c r="O14" s="11">
        <f>O12/O13</f>
        <v>17.6862507571169</v>
      </c>
      <c r="P14" s="4"/>
      <c r="Q14" s="4"/>
    </row>
    <row r="15" spans="1:17" ht="15">
      <c r="A15" s="4" t="s">
        <v>24</v>
      </c>
      <c r="B15" s="4">
        <f>B13/B14</f>
        <v>3600</v>
      </c>
      <c r="C15" s="4">
        <f>C13/C14</f>
        <v>2400</v>
      </c>
      <c r="D15" s="4"/>
      <c r="E15" s="4" t="s">
        <v>25</v>
      </c>
      <c r="F15" s="1">
        <v>16</v>
      </c>
      <c r="G15" s="1">
        <v>19</v>
      </c>
      <c r="H15" s="4"/>
      <c r="I15" s="4" t="s">
        <v>25</v>
      </c>
      <c r="J15" s="12">
        <f>K15</f>
        <v>17</v>
      </c>
      <c r="K15" s="13">
        <v>17</v>
      </c>
      <c r="L15" s="4"/>
      <c r="M15" s="4" t="s">
        <v>26</v>
      </c>
      <c r="N15" s="14">
        <f>N12*N11/(N12*N11+N13*N7)</f>
        <v>0.9807873169420932</v>
      </c>
      <c r="O15" s="14">
        <f>O12*O11/(O12*O11+O13*O7)</f>
        <v>0.9808037888584721</v>
      </c>
      <c r="P15" s="4"/>
      <c r="Q15" s="4"/>
    </row>
    <row r="16" spans="1:17" ht="15">
      <c r="A16" s="4" t="s">
        <v>26</v>
      </c>
      <c r="B16" s="4">
        <f>B13*B12/(B13*B12+B15*B7)</f>
        <v>0.9681697612732095</v>
      </c>
      <c r="C16" s="4">
        <f>C13*C12/(C13*C12+C15*C7)</f>
        <v>0.9723360655737705</v>
      </c>
      <c r="D16" s="4"/>
      <c r="E16" s="4" t="s">
        <v>17</v>
      </c>
      <c r="F16" s="15">
        <f>F15+F9</f>
        <v>19</v>
      </c>
      <c r="G16" s="15">
        <f>G15+G9</f>
        <v>24</v>
      </c>
      <c r="H16" s="4"/>
      <c r="I16" s="4" t="s">
        <v>17</v>
      </c>
      <c r="J16" s="15">
        <f>J15+J9</f>
        <v>22</v>
      </c>
      <c r="K16" s="15">
        <f>K15+K9</f>
        <v>22</v>
      </c>
      <c r="L16" s="4"/>
      <c r="M16" s="4" t="s">
        <v>27</v>
      </c>
      <c r="N16" s="11">
        <f>SQRT(N9)*N6</f>
        <v>173.20508075688772</v>
      </c>
      <c r="O16" s="11">
        <f>SQRT(O9)*O6</f>
        <v>134.1640786499874</v>
      </c>
      <c r="P16" s="4"/>
      <c r="Q16" s="4"/>
    </row>
    <row r="17" spans="1:17" ht="15">
      <c r="A17" s="4" t="s">
        <v>28</v>
      </c>
      <c r="B17" s="4">
        <f>B6*SQRT(B11)</f>
        <v>591.6079783099616</v>
      </c>
      <c r="C17" s="4">
        <f>C6*SQRT(C11)</f>
        <v>354.96478698597696</v>
      </c>
      <c r="D17" s="4"/>
      <c r="E17" s="4" t="s">
        <v>22</v>
      </c>
      <c r="F17" s="11">
        <f>365/F15</f>
        <v>22.8125</v>
      </c>
      <c r="G17" s="11">
        <f>365/G15</f>
        <v>19.210526315789473</v>
      </c>
      <c r="H17" s="4"/>
      <c r="I17" s="4" t="s">
        <v>22</v>
      </c>
      <c r="J17" s="11">
        <f>365/J15</f>
        <v>21.470588235294116</v>
      </c>
      <c r="K17" s="11">
        <f>365/K15</f>
        <v>21.470588235294116</v>
      </c>
      <c r="L17" s="4"/>
      <c r="M17" s="4" t="s">
        <v>29</v>
      </c>
      <c r="N17" s="11">
        <f>ROUND(NORMINV(N15,0,1)*N16,0)</f>
        <v>359</v>
      </c>
      <c r="O17" s="11">
        <f>ROUND(NORMINV(O15,0,1)*O16,0)</f>
        <v>278</v>
      </c>
      <c r="P17" s="4"/>
      <c r="Q17" s="4"/>
    </row>
    <row r="18" spans="1:17" ht="15">
      <c r="A18" s="4" t="s">
        <v>29</v>
      </c>
      <c r="B18" s="1">
        <f>ROUND(NORMINV(B16,0,1)*B17,0)</f>
        <v>1097</v>
      </c>
      <c r="C18" s="1">
        <f>ROUND(NORMINV(C16,0,1)*C17,0)</f>
        <v>680</v>
      </c>
      <c r="D18" s="4"/>
      <c r="E18" s="4" t="s">
        <v>24</v>
      </c>
      <c r="F18" s="11">
        <f>F15*F5</f>
        <v>1920</v>
      </c>
      <c r="G18" s="11">
        <f>G15*G5</f>
        <v>1520</v>
      </c>
      <c r="H18" s="4"/>
      <c r="I18" s="4" t="s">
        <v>24</v>
      </c>
      <c r="J18" s="11">
        <f>J15*J5</f>
        <v>2040</v>
      </c>
      <c r="K18" s="11">
        <f>K15*K5</f>
        <v>1360</v>
      </c>
      <c r="L18" s="4"/>
      <c r="M18" s="4"/>
      <c r="N18" s="11"/>
      <c r="O18" s="11"/>
      <c r="P18" s="4"/>
      <c r="Q18" s="4"/>
    </row>
    <row r="19" spans="1:17" ht="15">
      <c r="A19" s="4" t="s">
        <v>30</v>
      </c>
      <c r="B19" s="4">
        <f>B18+B11*B5</f>
        <v>5297</v>
      </c>
      <c r="C19" s="4">
        <f>C18+C11*C5</f>
        <v>3480</v>
      </c>
      <c r="D19" s="4"/>
      <c r="E19" s="4" t="s">
        <v>26</v>
      </c>
      <c r="F19" s="14">
        <f>F12*F11/(F12*F11+F18*F7)</f>
        <v>0.9827679052234787</v>
      </c>
      <c r="G19" s="14">
        <f>G12*G11/(G12*G11+G18*G7)</f>
        <v>0.982299968947314</v>
      </c>
      <c r="H19" s="4"/>
      <c r="I19" s="4" t="s">
        <v>26</v>
      </c>
      <c r="J19" s="14">
        <f>J12*J11/(J12*J11+J18*J7)</f>
        <v>0.9817105970952125</v>
      </c>
      <c r="K19" s="14">
        <f>K12*K11/(K12*K11+K18*K7)</f>
        <v>0.9841335683915794</v>
      </c>
      <c r="L19" s="4"/>
      <c r="M19" s="4" t="s">
        <v>31</v>
      </c>
      <c r="N19" s="11">
        <f>N13/2+N17</f>
        <v>1431.5</v>
      </c>
      <c r="O19" s="11">
        <f>O13/2+O17</f>
        <v>1103.5</v>
      </c>
      <c r="P19" s="4"/>
      <c r="Q19" s="4"/>
    </row>
    <row r="20" spans="1:17" ht="15">
      <c r="A20" s="4"/>
      <c r="B20" s="4"/>
      <c r="C20" s="4"/>
      <c r="D20" s="4"/>
      <c r="E20" s="4" t="s">
        <v>28</v>
      </c>
      <c r="F20" s="11">
        <f>SQRT(F16)*F6</f>
        <v>435.8898943540674</v>
      </c>
      <c r="G20" s="11">
        <f>SQRT(G16)*G6</f>
        <v>293.93876913398134</v>
      </c>
      <c r="H20" s="4"/>
      <c r="I20" s="4" t="s">
        <v>28</v>
      </c>
      <c r="J20" s="11">
        <f>SQRT(J16)*J6</f>
        <v>469.041575982343</v>
      </c>
      <c r="K20" s="11">
        <f>SQRT(K16)*K6</f>
        <v>281.4249455894058</v>
      </c>
      <c r="L20" s="4"/>
      <c r="M20" s="4" t="s">
        <v>32</v>
      </c>
      <c r="N20" s="16">
        <f>N19*N7</f>
        <v>57260</v>
      </c>
      <c r="O20" s="16">
        <f>O19*O7</f>
        <v>49657.5</v>
      </c>
      <c r="P20" s="4"/>
      <c r="Q20" s="4"/>
    </row>
    <row r="21" spans="1:17" ht="15">
      <c r="A21" s="4" t="s">
        <v>31</v>
      </c>
      <c r="B21" s="4">
        <f>B15/2+B18</f>
        <v>2897</v>
      </c>
      <c r="C21" s="4">
        <f>C15/2+C18</f>
        <v>1880</v>
      </c>
      <c r="D21" s="4"/>
      <c r="E21" s="4" t="s">
        <v>29</v>
      </c>
      <c r="F21" s="11">
        <f>ROUND(NORMINV(F19,0,1)*F20,0)</f>
        <v>922</v>
      </c>
      <c r="G21" s="11">
        <f>ROUND(NORMINV(G19,0,1)*G20,0)</f>
        <v>618</v>
      </c>
      <c r="H21" s="4"/>
      <c r="I21" s="4" t="s">
        <v>29</v>
      </c>
      <c r="J21" s="11">
        <f>ROUND(NORMINV(J19,0,1)*J20,0)</f>
        <v>981</v>
      </c>
      <c r="K21" s="11">
        <f>ROUND(NORMINV(K19,0,1)*K20,0)</f>
        <v>604</v>
      </c>
      <c r="L21" s="4"/>
      <c r="M21" s="4" t="s">
        <v>16</v>
      </c>
      <c r="N21" s="16">
        <f>N10*N14</f>
        <v>30629.37062937063</v>
      </c>
      <c r="O21" s="16">
        <f>O10*O14</f>
        <v>30066.626287098727</v>
      </c>
      <c r="P21" s="4"/>
      <c r="Q21" s="4"/>
    </row>
    <row r="22" spans="1:17" ht="15">
      <c r="A22" s="4" t="s">
        <v>32</v>
      </c>
      <c r="B22" s="5">
        <f>B21*B7</f>
        <v>115880</v>
      </c>
      <c r="C22" s="5">
        <f>C21*C7</f>
        <v>84600</v>
      </c>
      <c r="D22" s="4"/>
      <c r="E22" s="4"/>
      <c r="F22" s="11"/>
      <c r="G22" s="11"/>
      <c r="H22" s="4"/>
      <c r="I22" s="4"/>
      <c r="J22" s="11"/>
      <c r="K22" s="11"/>
      <c r="L22" s="4"/>
      <c r="M22" s="4" t="s">
        <v>33</v>
      </c>
      <c r="N22" s="16">
        <f>SUM(N20:O21)</f>
        <v>167613.49691646936</v>
      </c>
      <c r="O22" s="11"/>
      <c r="P22" s="4"/>
      <c r="Q22" s="4"/>
    </row>
    <row r="23" spans="1:17" ht="15">
      <c r="A23" s="4" t="s">
        <v>13</v>
      </c>
      <c r="B23" s="5">
        <f>B8*B14</f>
        <v>7300</v>
      </c>
      <c r="C23" s="5">
        <f>C8*C14</f>
        <v>4866.666666666666</v>
      </c>
      <c r="D23" s="4"/>
      <c r="E23" s="4" t="s">
        <v>31</v>
      </c>
      <c r="F23" s="11">
        <f>F18/2+F21</f>
        <v>1882</v>
      </c>
      <c r="G23" s="11">
        <f>G18/2+G21</f>
        <v>1378</v>
      </c>
      <c r="H23" s="4"/>
      <c r="I23" s="4" t="s">
        <v>31</v>
      </c>
      <c r="J23" s="11">
        <f>J18/2+J21</f>
        <v>2001</v>
      </c>
      <c r="K23" s="11">
        <f>K18/2+K21</f>
        <v>1284</v>
      </c>
      <c r="L23" s="4"/>
      <c r="M23" s="4"/>
      <c r="N23" s="4"/>
      <c r="O23" s="4"/>
      <c r="P23" s="4"/>
      <c r="Q23" s="4"/>
    </row>
    <row r="24" spans="1:17" ht="15">
      <c r="A24" s="4" t="s">
        <v>16</v>
      </c>
      <c r="B24" s="5">
        <f>B14*3000</f>
        <v>36500</v>
      </c>
      <c r="C24" s="5"/>
      <c r="D24" s="4"/>
      <c r="E24" s="4" t="s">
        <v>32</v>
      </c>
      <c r="F24" s="16">
        <f>F23*F7</f>
        <v>75280</v>
      </c>
      <c r="G24" s="16">
        <f>G23*G7</f>
        <v>62010</v>
      </c>
      <c r="H24" s="4"/>
      <c r="I24" s="4" t="s">
        <v>32</v>
      </c>
      <c r="J24" s="16">
        <f>J23*J7</f>
        <v>80040</v>
      </c>
      <c r="K24" s="16">
        <f>K23*K7</f>
        <v>57780</v>
      </c>
      <c r="L24" s="4"/>
      <c r="M24" s="4"/>
      <c r="N24" s="4"/>
      <c r="O24" s="4"/>
      <c r="P24" s="4"/>
      <c r="Q24" s="4"/>
    </row>
    <row r="25" spans="1:17" ht="15">
      <c r="A25" s="4" t="s">
        <v>33</v>
      </c>
      <c r="B25" s="5">
        <f>SUM(B22:C24)</f>
        <v>249146.66666666666</v>
      </c>
      <c r="C25" s="4"/>
      <c r="D25" s="4"/>
      <c r="E25" s="4" t="s">
        <v>13</v>
      </c>
      <c r="F25" s="16">
        <f>F8*F17</f>
        <v>13687.5</v>
      </c>
      <c r="G25" s="16">
        <f>G8*G17</f>
        <v>7684.210526315789</v>
      </c>
      <c r="H25" s="4"/>
      <c r="I25" s="4" t="s">
        <v>13</v>
      </c>
      <c r="J25" s="16">
        <f>J8*J17</f>
        <v>12882.35294117647</v>
      </c>
      <c r="K25" s="16">
        <f>K8*K17</f>
        <v>8588.235294117647</v>
      </c>
      <c r="L25" s="4"/>
      <c r="M25" s="4" t="s">
        <v>34</v>
      </c>
      <c r="N25" s="5">
        <v>5000</v>
      </c>
      <c r="O25" s="4"/>
      <c r="P25" s="4"/>
      <c r="Q25" s="4"/>
    </row>
    <row r="26" spans="1:17" ht="15">
      <c r="A26" s="4"/>
      <c r="B26" s="4"/>
      <c r="C26" s="4"/>
      <c r="D26" s="4"/>
      <c r="E26" s="4" t="s">
        <v>16</v>
      </c>
      <c r="F26" s="16">
        <f>F10*F17</f>
        <v>34218.75</v>
      </c>
      <c r="G26" s="16">
        <f>G10*G17</f>
        <v>32657.894736842103</v>
      </c>
      <c r="H26" s="4"/>
      <c r="I26" s="4" t="s">
        <v>16</v>
      </c>
      <c r="J26" s="16">
        <f>J10*J17</f>
        <v>32205.882352941175</v>
      </c>
      <c r="K26" s="16">
        <f>K10*K17</f>
        <v>32205.882352941175</v>
      </c>
      <c r="L26" s="4"/>
      <c r="M26" s="4" t="s">
        <v>35</v>
      </c>
      <c r="N26" s="5">
        <v>500000</v>
      </c>
      <c r="O26" s="4"/>
      <c r="P26" s="4"/>
      <c r="Q26" s="4"/>
    </row>
    <row r="27" spans="1:17" ht="15">
      <c r="A27" s="4"/>
      <c r="B27" s="17"/>
      <c r="C27" s="4"/>
      <c r="D27" s="4"/>
      <c r="E27" s="4" t="s">
        <v>33</v>
      </c>
      <c r="F27" s="16">
        <f>SUM(F24:G26)</f>
        <v>225538.3552631579</v>
      </c>
      <c r="G27" s="11"/>
      <c r="H27" s="4"/>
      <c r="I27" s="4" t="s">
        <v>33</v>
      </c>
      <c r="J27" s="6">
        <f>SUM(J24:K26)</f>
        <v>223702.35294117648</v>
      </c>
      <c r="K27" s="11"/>
      <c r="L27" s="4"/>
      <c r="M27" s="4" t="s">
        <v>36</v>
      </c>
      <c r="N27" s="5">
        <f>J27-N22-N25</f>
        <v>51088.856024707115</v>
      </c>
      <c r="O27" s="4"/>
      <c r="P27" s="4"/>
      <c r="Q27" s="4"/>
    </row>
    <row r="28" spans="1:1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 t="s">
        <v>37</v>
      </c>
      <c r="N28" s="1">
        <f>N26/N27</f>
        <v>9.786870149493947</v>
      </c>
      <c r="O28" s="4"/>
      <c r="P28" s="4"/>
      <c r="Q28" s="4"/>
    </row>
  </sheetData>
  <sheetProtection/>
  <mergeCells count="4">
    <mergeCell ref="A1:C1"/>
    <mergeCell ref="E1:G1"/>
    <mergeCell ref="I1:K1"/>
    <mergeCell ref="M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H. Huang</dc:creator>
  <cp:keywords/>
  <dc:description/>
  <cp:lastModifiedBy>Samuel H. Huang</cp:lastModifiedBy>
  <dcterms:created xsi:type="dcterms:W3CDTF">2012-09-11T21:39:15Z</dcterms:created>
  <dcterms:modified xsi:type="dcterms:W3CDTF">2012-11-12T17:32:22Z</dcterms:modified>
  <cp:category/>
  <cp:version/>
  <cp:contentType/>
  <cp:contentStatus/>
</cp:coreProperties>
</file>