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476" windowWidth="6030" windowHeight="8820" tabRatio="700" activeTab="0"/>
  </bookViews>
  <sheets>
    <sheet name="Other Data" sheetId="1" r:id="rId1"/>
    <sheet name="Amplifier Data" sheetId="2" r:id="rId2"/>
    <sheet name="Results" sheetId="3" r:id="rId3"/>
    <sheet name="Plots" sheetId="4" r:id="rId4"/>
  </sheets>
  <definedNames>
    <definedName name="Avdiff">'Amplifier Data'!$C$29</definedName>
    <definedName name="CMRR">'Amplifier Data'!$C$26</definedName>
    <definedName name="DAv">'Amplifier Data'!$C$30</definedName>
    <definedName name="DI">'Amplifier Data'!$C$19</definedName>
    <definedName name="DT">'Amplifier Data'!$C$17</definedName>
    <definedName name="eamp1">'Amplifier Data'!$C$39</definedName>
    <definedName name="eamp2">'Amplifier Data'!$D$39</definedName>
    <definedName name="eamp3">'Amplifier Data'!$E$39</definedName>
    <definedName name="eamp4">'Amplifier Data'!$F$39</definedName>
    <definedName name="f_Av">'Amplifier Data'!$C$27</definedName>
    <definedName name="fcont">'Amplifier Data'!$C$22</definedName>
    <definedName name="fhi">'Amplifier Data'!$C$14</definedName>
    <definedName name="IB">'Amplifier Data'!$C$21</definedName>
    <definedName name="In">'Amplifier Data'!$C$25</definedName>
    <definedName name="Ios">'Amplifier Data'!$C$18</definedName>
    <definedName name="_xlnm.Print_Area" localSheetId="1">'Amplifier Data'!$A$7:$H$39</definedName>
    <definedName name="_xlnm.Print_Area" localSheetId="0">'Other Data'!$A$1:$E$92</definedName>
    <definedName name="_xlnm.Print_Area" localSheetId="2">'Results'!$A$6:$D$57</definedName>
    <definedName name="Rcm">'Amplifier Data'!$C$12</definedName>
    <definedName name="Rcon">'Amplifier Data'!$C$23</definedName>
    <definedName name="Rdiff">'Amplifier Data'!$C$13</definedName>
    <definedName name="Rs">'Amplifier Data'!$C$31</definedName>
    <definedName name="Tamb">'Amplifier Data'!$C$20</definedName>
    <definedName name="Vcont">'Amplifier Data'!$C$35</definedName>
    <definedName name="VDAv">'Amplifier Data'!$C$38</definedName>
    <definedName name="Vdiff">'Amplifier Data'!#REF!</definedName>
    <definedName name="Vf_Av">'Amplifier Data'!$C$37</definedName>
    <definedName name="VFS">'Amplifier Data'!$C$28</definedName>
    <definedName name="VIos">'Amplifier Data'!$C$33</definedName>
    <definedName name="VIosDT">'Amplifier Data'!#REF!</definedName>
    <definedName name="Vn">'Amplifier Data'!$C$24</definedName>
    <definedName name="Vos">'Amplifier Data'!$C$16</definedName>
    <definedName name="VosDT">'Amplifier Data'!$C$32</definedName>
    <definedName name="Vostemp">'Amplifier Data'!$C$15</definedName>
    <definedName name="VTN">'Amplifier Data'!$C$34</definedName>
    <definedName name="Vtot">'Amplifier Data'!$C$36</definedName>
  </definedNames>
  <calcPr fullCalcOnLoad="1"/>
</workbook>
</file>

<file path=xl/sharedStrings.xml><?xml version="1.0" encoding="utf-8"?>
<sst xmlns="http://schemas.openxmlformats.org/spreadsheetml/2006/main" count="526" uniqueCount="396">
  <si>
    <t xml:space="preserve">                 Computer Integrated Instrumentation Analysis Suite</t>
  </si>
  <si>
    <t xml:space="preserve">                    Patrick H. Garrett</t>
  </si>
  <si>
    <t>Parameter</t>
  </si>
  <si>
    <t>Symbol</t>
  </si>
  <si>
    <t>Value</t>
  </si>
  <si>
    <t>Units</t>
  </si>
  <si>
    <r>
      <t xml:space="preserve">               Comment   [ </t>
    </r>
    <r>
      <rPr>
        <b/>
        <sz val="14"/>
        <color indexed="8"/>
        <rFont val="Arial"/>
        <family val="2"/>
      </rPr>
      <t>black: entered</t>
    </r>
    <r>
      <rPr>
        <b/>
        <sz val="14"/>
        <color indexed="10"/>
        <rFont val="Arial"/>
        <family val="0"/>
      </rPr>
      <t xml:space="preserve">  </t>
    </r>
    <r>
      <rPr>
        <b/>
        <sz val="14"/>
        <color indexed="12"/>
        <rFont val="Arial"/>
        <family val="2"/>
      </rPr>
      <t>shaded:calculated</t>
    </r>
    <r>
      <rPr>
        <b/>
        <sz val="14"/>
        <color indexed="10"/>
        <rFont val="Arial"/>
        <family val="0"/>
      </rPr>
      <t xml:space="preserve"> ]</t>
    </r>
  </si>
  <si>
    <t xml:space="preserve">         Sensor and Excitation Entries</t>
  </si>
  <si>
    <t>Sensor Error Type</t>
  </si>
  <si>
    <t>e</t>
  </si>
  <si>
    <t>s</t>
  </si>
  <si>
    <t>M or S</t>
  </si>
  <si>
    <t>M = Static Mean, S = Variable Systematic</t>
  </si>
  <si>
    <t>Sensor Error Value</t>
  </si>
  <si>
    <r>
      <t>e</t>
    </r>
    <r>
      <rPr>
        <b/>
        <vertAlign val="subscript"/>
        <sz val="12"/>
        <rFont val="Arial"/>
        <family val="2"/>
      </rPr>
      <t>sensor</t>
    </r>
  </si>
  <si>
    <t>%FS</t>
  </si>
  <si>
    <t>Sensor full scale error from manufacturer's information</t>
  </si>
  <si>
    <t>Peak Input Signal Voltage</t>
  </si>
  <si>
    <t>Vs</t>
  </si>
  <si>
    <t>Volts</t>
  </si>
  <si>
    <r>
      <t xml:space="preserve">Sensor full-scale signal voltage DC or RMS </t>
    </r>
    <r>
      <rPr>
        <b/>
        <sz val="10"/>
        <rFont val="Symbol"/>
        <family val="1"/>
      </rPr>
      <t>Ö</t>
    </r>
    <r>
      <rPr>
        <b/>
        <sz val="10"/>
        <rFont val="Arial"/>
        <family val="0"/>
      </rPr>
      <t>2 up to fund. = BW/10 for harm. signals</t>
    </r>
  </si>
  <si>
    <t>Peak Output Signal Voltage</t>
  </si>
  <si>
    <r>
      <t>Vo</t>
    </r>
    <r>
      <rPr>
        <b/>
        <vertAlign val="subscript"/>
        <sz val="12"/>
        <rFont val="Arial"/>
        <family val="2"/>
      </rPr>
      <t>FS</t>
    </r>
  </si>
  <si>
    <r>
      <t xml:space="preserve">System full-scale voltage DC or RMS </t>
    </r>
    <r>
      <rPr>
        <b/>
        <sz val="10"/>
        <rFont val="Symbol"/>
        <family val="1"/>
      </rPr>
      <t>Ö</t>
    </r>
    <r>
      <rPr>
        <b/>
        <sz val="10"/>
        <rFont val="Arial"/>
        <family val="0"/>
      </rPr>
      <t>2</t>
    </r>
  </si>
  <si>
    <t>Signal Bandwidth</t>
  </si>
  <si>
    <t>BW</t>
  </si>
  <si>
    <t>Hertz</t>
  </si>
  <si>
    <t>Sensor signal bandwidth to highest frequency of interest</t>
  </si>
  <si>
    <t>Interface Error Type</t>
  </si>
  <si>
    <t>Common Mode Interference</t>
  </si>
  <si>
    <t>Vcm</t>
  </si>
  <si>
    <t>Input common-mode DC or RMS random and/or coherent interference amplitude</t>
  </si>
  <si>
    <t>Differential Input Signal@BW</t>
  </si>
  <si>
    <t>Vdiff</t>
  </si>
  <si>
    <t>Sensor DC or RMS differential voltage at full BW for signal quality evaluation</t>
  </si>
  <si>
    <t>Coherent Interference Present</t>
  </si>
  <si>
    <t>Coh</t>
  </si>
  <si>
    <t>N</t>
  </si>
  <si>
    <t>Y or N</t>
  </si>
  <si>
    <t>Enter N if no coherent interference</t>
  </si>
  <si>
    <t>Coherent Interference Freq.</t>
  </si>
  <si>
    <r>
      <t>f</t>
    </r>
    <r>
      <rPr>
        <b/>
        <vertAlign val="subscript"/>
        <sz val="12"/>
        <rFont val="Arial"/>
        <family val="2"/>
      </rPr>
      <t>coh</t>
    </r>
  </si>
  <si>
    <t>Frequency of coherent interfering signal if present</t>
  </si>
  <si>
    <t>Random Interference Present</t>
  </si>
  <si>
    <t>Rand</t>
  </si>
  <si>
    <t>y</t>
  </si>
  <si>
    <t>Enter a Y if random noise is present, N if not</t>
  </si>
  <si>
    <t>Allowed Poles</t>
  </si>
  <si>
    <t>Input Interface Error</t>
  </si>
  <si>
    <r>
      <t>e</t>
    </r>
    <r>
      <rPr>
        <b/>
        <vertAlign val="subscript"/>
        <sz val="12"/>
        <rFont val="Arial"/>
        <family val="2"/>
      </rPr>
      <t>interface</t>
    </r>
  </si>
  <si>
    <t>Interface termination or sensor excitation error</t>
  </si>
  <si>
    <t>Sinusoidal/Harmonic</t>
  </si>
  <si>
    <t>H or S</t>
  </si>
  <si>
    <t>Enter 'H' for complex harmonic signals and 'S' for sinusoidal or DC signals</t>
  </si>
  <si>
    <t>Required Voltage Gain</t>
  </si>
  <si>
    <r>
      <t>A</t>
    </r>
    <r>
      <rPr>
        <b/>
        <vertAlign val="subscript"/>
        <sz val="12"/>
        <color indexed="12"/>
        <rFont val="Arial"/>
        <family val="2"/>
      </rPr>
      <t>V</t>
    </r>
  </si>
  <si>
    <t>V/V</t>
  </si>
  <si>
    <r>
      <t>Vo</t>
    </r>
    <r>
      <rPr>
        <b/>
        <vertAlign val="subscript"/>
        <sz val="10"/>
        <color indexed="12"/>
        <rFont val="Arial"/>
        <family val="2"/>
      </rPr>
      <t>FS</t>
    </r>
    <r>
      <rPr>
        <b/>
        <sz val="10"/>
        <color indexed="12"/>
        <rFont val="Arial"/>
        <family val="2"/>
      </rPr>
      <t xml:space="preserve"> / V</t>
    </r>
    <r>
      <rPr>
        <b/>
        <vertAlign val="subscript"/>
        <sz val="10"/>
        <color indexed="12"/>
        <rFont val="Arial"/>
        <family val="2"/>
      </rPr>
      <t>S</t>
    </r>
    <r>
      <rPr>
        <b/>
        <sz val="10"/>
        <color indexed="12"/>
        <rFont val="Arial"/>
        <family val="2"/>
      </rPr>
      <t xml:space="preserve"> total gain between sensor and A/D converter</t>
    </r>
  </si>
  <si>
    <t>Input SNR</t>
  </si>
  <si>
    <r>
      <t>SNR</t>
    </r>
    <r>
      <rPr>
        <b/>
        <vertAlign val="subscript"/>
        <sz val="12"/>
        <color indexed="12"/>
        <rFont val="Arial"/>
        <family val="2"/>
      </rPr>
      <t>i</t>
    </r>
  </si>
  <si>
    <r>
      <t>(V/V)</t>
    </r>
    <r>
      <rPr>
        <b/>
        <vertAlign val="superscript"/>
        <sz val="12"/>
        <color indexed="12"/>
        <rFont val="Arial"/>
        <family val="2"/>
      </rPr>
      <t>2</t>
    </r>
  </si>
  <si>
    <r>
      <t xml:space="preserve">Input signal-to-noise ratio as (V </t>
    </r>
    <r>
      <rPr>
        <b/>
        <vertAlign val="subscript"/>
        <sz val="12"/>
        <color indexed="12"/>
        <rFont val="Arial"/>
        <family val="2"/>
      </rPr>
      <t>diff</t>
    </r>
    <r>
      <rPr>
        <b/>
        <sz val="10"/>
        <color indexed="12"/>
        <rFont val="Arial"/>
        <family val="2"/>
      </rPr>
      <t>/V</t>
    </r>
    <r>
      <rPr>
        <b/>
        <vertAlign val="subscript"/>
        <sz val="12"/>
        <color indexed="12"/>
        <rFont val="Arial"/>
        <family val="2"/>
      </rPr>
      <t>cm</t>
    </r>
    <r>
      <rPr>
        <b/>
        <sz val="10"/>
        <color indexed="12"/>
        <rFont val="Arial"/>
        <family val="2"/>
      </rPr>
      <t>)</t>
    </r>
    <r>
      <rPr>
        <b/>
        <vertAlign val="superscript"/>
        <sz val="12"/>
        <color indexed="12"/>
        <rFont val="Arial"/>
        <family val="2"/>
      </rPr>
      <t>2</t>
    </r>
  </si>
  <si>
    <t xml:space="preserve">   Signal Quality and Presampling Filter Entries</t>
  </si>
  <si>
    <t>Presampling Filter Poles</t>
  </si>
  <si>
    <t>n</t>
  </si>
  <si>
    <t>Poles</t>
  </si>
  <si>
    <t>Filter Present</t>
  </si>
  <si>
    <t>Enter N if no filter present</t>
  </si>
  <si>
    <t>Filter Efficiency</t>
  </si>
  <si>
    <t>K</t>
  </si>
  <si>
    <t>Param.</t>
  </si>
  <si>
    <t>Linear filter efficiency relative to matched filtering (0.9 default value)</t>
  </si>
  <si>
    <t>Mean Filter Error</t>
  </si>
  <si>
    <r>
      <t>e</t>
    </r>
    <r>
      <rPr>
        <b/>
        <vertAlign val="subscript"/>
        <sz val="12"/>
        <color indexed="12"/>
        <rFont val="Arial"/>
        <family val="2"/>
      </rPr>
      <t>filter</t>
    </r>
  </si>
  <si>
    <t>Filter Cutoff Frequency</t>
  </si>
  <si>
    <r>
      <t>f</t>
    </r>
    <r>
      <rPr>
        <b/>
        <vertAlign val="subscript"/>
        <sz val="12"/>
        <color indexed="12"/>
        <rFont val="Arial"/>
        <family val="2"/>
      </rPr>
      <t>c</t>
    </r>
  </si>
  <si>
    <t>Presampling filter cutoff frequency</t>
  </si>
  <si>
    <t>Amplifier SNR</t>
  </si>
  <si>
    <t>SNRamp</t>
  </si>
  <si>
    <t>W/W</t>
  </si>
  <si>
    <t>Signal conditioning amplifier output signal-to-noise power ratio</t>
  </si>
  <si>
    <t>Amplifier SNR Error</t>
  </si>
  <si>
    <r>
      <t>e</t>
    </r>
    <r>
      <rPr>
        <b/>
        <vertAlign val="subscript"/>
        <sz val="12"/>
        <color indexed="12"/>
        <rFont val="Arial"/>
        <family val="2"/>
      </rPr>
      <t>amp SNR</t>
    </r>
  </si>
  <si>
    <t>Signal conditioning amplifier output error</t>
  </si>
  <si>
    <t>Coherent Filter SNR</t>
  </si>
  <si>
    <r>
      <t>SNR</t>
    </r>
    <r>
      <rPr>
        <b/>
        <vertAlign val="subscript"/>
        <sz val="12"/>
        <color indexed="12"/>
        <rFont val="Arial"/>
        <family val="2"/>
      </rPr>
      <t>coh</t>
    </r>
  </si>
  <si>
    <t>Filter output coherent signal-to-noise ratio as power ratio</t>
  </si>
  <si>
    <t>Coherent Filter SNR Error</t>
  </si>
  <si>
    <r>
      <t>e</t>
    </r>
    <r>
      <rPr>
        <b/>
        <vertAlign val="subscript"/>
        <sz val="12"/>
        <color indexed="12"/>
        <rFont val="Arial"/>
        <family val="2"/>
      </rPr>
      <t>coh amp</t>
    </r>
  </si>
  <si>
    <t>Filter output full-scale signal error for filter SNR</t>
  </si>
  <si>
    <t>Random Filter SNR</t>
  </si>
  <si>
    <r>
      <t>SNR</t>
    </r>
    <r>
      <rPr>
        <b/>
        <vertAlign val="subscript"/>
        <sz val="12"/>
        <color indexed="12"/>
        <rFont val="Arial"/>
        <family val="2"/>
      </rPr>
      <t>rand</t>
    </r>
  </si>
  <si>
    <t>Random filter SNR</t>
  </si>
  <si>
    <t>Random Filter SNR Error</t>
  </si>
  <si>
    <r>
      <t>e</t>
    </r>
    <r>
      <rPr>
        <b/>
        <vertAlign val="subscript"/>
        <sz val="12"/>
        <color indexed="12"/>
        <rFont val="Arial"/>
        <family val="2"/>
      </rPr>
      <t>rand amp</t>
    </r>
  </si>
  <si>
    <t>Filter output full-scale signal error for filter SNR (random)</t>
  </si>
  <si>
    <t>Total Signal Quality</t>
  </si>
  <si>
    <r>
      <t>e</t>
    </r>
    <r>
      <rPr>
        <b/>
        <vertAlign val="subscript"/>
        <sz val="12"/>
        <color indexed="12"/>
        <rFont val="Arial"/>
        <family val="2"/>
      </rPr>
      <t>sq</t>
    </r>
  </si>
  <si>
    <r>
      <t>e</t>
    </r>
    <r>
      <rPr>
        <b/>
        <vertAlign val="subscript"/>
        <sz val="12"/>
        <color indexed="12"/>
        <rFont val="Arial"/>
        <family val="2"/>
      </rPr>
      <t xml:space="preserve">amp SNR </t>
    </r>
    <r>
      <rPr>
        <b/>
        <sz val="10"/>
        <color indexed="12"/>
        <rFont val="Arial"/>
        <family val="2"/>
      </rPr>
      <t xml:space="preserve">or RSS </t>
    </r>
    <r>
      <rPr>
        <b/>
        <sz val="12"/>
        <color indexed="12"/>
        <rFont val="Arial"/>
        <family val="2"/>
      </rPr>
      <t>(</t>
    </r>
    <r>
      <rPr>
        <b/>
        <sz val="14"/>
        <color indexed="12"/>
        <rFont val="Symbol"/>
        <family val="1"/>
      </rPr>
      <t>e</t>
    </r>
    <r>
      <rPr>
        <b/>
        <vertAlign val="subscript"/>
        <sz val="12"/>
        <color indexed="12"/>
        <rFont val="Arial"/>
        <family val="2"/>
      </rPr>
      <t>rand amp</t>
    </r>
    <r>
      <rPr>
        <b/>
        <sz val="12"/>
        <color indexed="12"/>
        <rFont val="Arial"/>
        <family val="2"/>
      </rPr>
      <t xml:space="preserve"> + </t>
    </r>
    <r>
      <rPr>
        <b/>
        <sz val="14"/>
        <color indexed="12"/>
        <rFont val="Symbol"/>
        <family val="1"/>
      </rPr>
      <t>e</t>
    </r>
    <r>
      <rPr>
        <b/>
        <vertAlign val="subscript"/>
        <sz val="12"/>
        <color indexed="12"/>
        <rFont val="Arial"/>
        <family val="2"/>
      </rPr>
      <t>coh amp</t>
    </r>
    <r>
      <rPr>
        <b/>
        <sz val="12"/>
        <color indexed="12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with filter</t>
    </r>
  </si>
  <si>
    <t>Aperture, Sinc, and Aliasing Entries</t>
  </si>
  <si>
    <t>Aperture Time</t>
  </si>
  <si>
    <r>
      <t>t</t>
    </r>
    <r>
      <rPr>
        <b/>
        <vertAlign val="subscript"/>
        <sz val="12"/>
        <rFont val="Arial"/>
        <family val="2"/>
      </rPr>
      <t>a</t>
    </r>
  </si>
  <si>
    <r>
      <t>m</t>
    </r>
    <r>
      <rPr>
        <b/>
        <sz val="10"/>
        <rFont val="Arial"/>
        <family val="0"/>
      </rPr>
      <t>s</t>
    </r>
  </si>
  <si>
    <t xml:space="preserve">Aperture time of sample and hold </t>
  </si>
  <si>
    <t>Sample Rate</t>
  </si>
  <si>
    <r>
      <t>f</t>
    </r>
    <r>
      <rPr>
        <b/>
        <vertAlign val="subscript"/>
        <sz val="12"/>
        <rFont val="Arial"/>
        <family val="2"/>
      </rPr>
      <t>s</t>
    </r>
  </si>
  <si>
    <t>Sample rate selected</t>
  </si>
  <si>
    <t>Undersampled Coherent Noise</t>
  </si>
  <si>
    <r>
      <t>A</t>
    </r>
    <r>
      <rPr>
        <b/>
        <vertAlign val="subscript"/>
        <sz val="12"/>
        <rFont val="Arial"/>
        <family val="2"/>
      </rPr>
      <t>coh</t>
    </r>
  </si>
  <si>
    <t>V RMS</t>
  </si>
  <si>
    <t>Amplitude of the coherent undersampled RMS noise at S/H and A/D</t>
  </si>
  <si>
    <t>Undersampled Random Noise</t>
  </si>
  <si>
    <r>
      <t>A</t>
    </r>
    <r>
      <rPr>
        <b/>
        <vertAlign val="subscript"/>
        <sz val="12"/>
        <rFont val="Arial"/>
        <family val="2"/>
      </rPr>
      <t>rand</t>
    </r>
  </si>
  <si>
    <t>Amplitude of the random undersampled RMS noise at S/H and A/D</t>
  </si>
  <si>
    <t>Coherent Alias Frequency</t>
  </si>
  <si>
    <r>
      <t>f</t>
    </r>
    <r>
      <rPr>
        <b/>
        <vertAlign val="subscript"/>
        <sz val="12"/>
        <rFont val="Arial"/>
        <family val="2"/>
      </rPr>
      <t>coh alias</t>
    </r>
  </si>
  <si>
    <t>Undersampled coherent aliasing source frequency at input</t>
  </si>
  <si>
    <t>Interfering Baseband Alias</t>
  </si>
  <si>
    <r>
      <t>f</t>
    </r>
    <r>
      <rPr>
        <b/>
        <vertAlign val="subscript"/>
        <sz val="12"/>
        <color indexed="12"/>
        <rFont val="Arial"/>
        <family val="2"/>
      </rPr>
      <t>alias</t>
    </r>
  </si>
  <si>
    <t>Baseband coherent aliasing frequency</t>
  </si>
  <si>
    <t>Mean Aperture Error</t>
  </si>
  <si>
    <r>
      <t>e</t>
    </r>
    <r>
      <rPr>
        <b/>
        <vertAlign val="subscript"/>
        <sz val="12"/>
        <color indexed="12"/>
        <rFont val="Arial"/>
        <family val="2"/>
      </rPr>
      <t>a</t>
    </r>
  </si>
  <si>
    <t>Aperture error as percent full-scale</t>
  </si>
  <si>
    <t>ZOH Intersample Error</t>
  </si>
  <si>
    <r>
      <t>e</t>
    </r>
    <r>
      <rPr>
        <b/>
        <vertAlign val="subscript"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"/>
        <family val="2"/>
      </rPr>
      <t>V ZOH</t>
    </r>
  </si>
  <si>
    <t>ZOH intersample error at full BW prior to interpolation</t>
  </si>
  <si>
    <t>Mean Sinc Error</t>
  </si>
  <si>
    <r>
      <t>e</t>
    </r>
    <r>
      <rPr>
        <b/>
        <vertAlign val="subscript"/>
        <sz val="12"/>
        <color indexed="12"/>
        <rFont val="Arial"/>
        <family val="2"/>
      </rPr>
      <t>NRZ sinc</t>
    </r>
  </si>
  <si>
    <t>Average sinc error for NRZ sampling</t>
  </si>
  <si>
    <t>Coherent Alias Error</t>
  </si>
  <si>
    <r>
      <t>e</t>
    </r>
    <r>
      <rPr>
        <b/>
        <vertAlign val="subscript"/>
        <sz val="12"/>
        <color indexed="12"/>
        <rFont val="Arial"/>
        <family val="2"/>
      </rPr>
      <t>coh alias</t>
    </r>
  </si>
  <si>
    <t>Aliasing by the undersampled coherent interference amplitude</t>
  </si>
  <si>
    <t>Random Alias Error</t>
  </si>
  <si>
    <r>
      <t>e</t>
    </r>
    <r>
      <rPr>
        <b/>
        <vertAlign val="subscript"/>
        <sz val="12"/>
        <color indexed="12"/>
        <rFont val="Arial"/>
        <family val="2"/>
      </rPr>
      <t>rand alias</t>
    </r>
  </si>
  <si>
    <t>Aliasing by the undersampled random interference amplitude</t>
  </si>
  <si>
    <t>Total Alias Error</t>
  </si>
  <si>
    <r>
      <t>e</t>
    </r>
    <r>
      <rPr>
        <b/>
        <vertAlign val="subscript"/>
        <sz val="12"/>
        <color indexed="12"/>
        <rFont val="Arial"/>
        <family val="2"/>
      </rPr>
      <t>alias</t>
    </r>
  </si>
  <si>
    <r>
      <t>RSS(</t>
    </r>
    <r>
      <rPr>
        <b/>
        <sz val="14"/>
        <color indexed="12"/>
        <rFont val="Symbol"/>
        <family val="1"/>
      </rPr>
      <t>e</t>
    </r>
    <r>
      <rPr>
        <b/>
        <vertAlign val="subscript"/>
        <sz val="12"/>
        <color indexed="12"/>
        <rFont val="Arial"/>
        <family val="2"/>
      </rPr>
      <t>coh alias</t>
    </r>
    <r>
      <rPr>
        <b/>
        <sz val="10"/>
        <color indexed="12"/>
        <rFont val="Arial"/>
        <family val="2"/>
      </rPr>
      <t xml:space="preserve"> + </t>
    </r>
    <r>
      <rPr>
        <b/>
        <sz val="14"/>
        <color indexed="12"/>
        <rFont val="Symbol"/>
        <family val="1"/>
      </rPr>
      <t>e</t>
    </r>
    <r>
      <rPr>
        <b/>
        <vertAlign val="subscript"/>
        <sz val="12"/>
        <color indexed="12"/>
        <rFont val="Arial"/>
        <family val="2"/>
      </rPr>
      <t>rand alias</t>
    </r>
    <r>
      <rPr>
        <b/>
        <sz val="10"/>
        <color indexed="12"/>
        <rFont val="Arial"/>
        <family val="2"/>
      </rPr>
      <t>)</t>
    </r>
  </si>
  <si>
    <t>Multiplexer Entries</t>
  </si>
  <si>
    <t>Mean Transfer Error</t>
  </si>
  <si>
    <r>
      <t>e</t>
    </r>
    <r>
      <rPr>
        <b/>
        <vertAlign val="subscript"/>
        <sz val="12"/>
        <rFont val="Arial"/>
        <family val="2"/>
      </rPr>
      <t>trans</t>
    </r>
  </si>
  <si>
    <t>Mean transfer error as percent full-scale</t>
  </si>
  <si>
    <t>Crosstalk</t>
  </si>
  <si>
    <r>
      <t>e</t>
    </r>
    <r>
      <rPr>
        <b/>
        <vertAlign val="subscript"/>
        <sz val="12"/>
        <rFont val="Arial"/>
        <family val="2"/>
      </rPr>
      <t>cross</t>
    </r>
  </si>
  <si>
    <t>Crosstalk error as percent full-scale</t>
  </si>
  <si>
    <t>Leakage</t>
  </si>
  <si>
    <r>
      <t>e</t>
    </r>
    <r>
      <rPr>
        <b/>
        <vertAlign val="subscript"/>
        <sz val="12"/>
        <rFont val="Arial"/>
        <family val="2"/>
      </rPr>
      <t>leak</t>
    </r>
  </si>
  <si>
    <t>Leakage error as percent full-scale</t>
  </si>
  <si>
    <t>Mean Multiplexer Error</t>
  </si>
  <si>
    <r>
      <t>e</t>
    </r>
    <r>
      <rPr>
        <b/>
        <vertAlign val="subscript"/>
        <sz val="12"/>
        <color indexed="12"/>
        <rFont val="Arial"/>
        <family val="2"/>
      </rPr>
      <t>AMUX</t>
    </r>
  </si>
  <si>
    <t>Sample Hold Entries</t>
  </si>
  <si>
    <t>Acquisition Error</t>
  </si>
  <si>
    <r>
      <t>e</t>
    </r>
    <r>
      <rPr>
        <b/>
        <vertAlign val="subscript"/>
        <sz val="12"/>
        <rFont val="Arial"/>
        <family val="2"/>
      </rPr>
      <t>acq</t>
    </r>
  </si>
  <si>
    <t>Acquisition error following required settling time</t>
  </si>
  <si>
    <t>Nonlinearity</t>
  </si>
  <si>
    <r>
      <t>e</t>
    </r>
    <r>
      <rPr>
        <b/>
        <vertAlign val="subscript"/>
        <sz val="12"/>
        <rFont val="Arial"/>
        <family val="2"/>
      </rPr>
      <t>lin</t>
    </r>
  </si>
  <si>
    <t>Sample-hold nonlinearity errors</t>
  </si>
  <si>
    <t>Gain</t>
  </si>
  <si>
    <r>
      <t>e</t>
    </r>
    <r>
      <rPr>
        <b/>
        <vertAlign val="subscript"/>
        <sz val="12"/>
        <rFont val="Arial"/>
        <family val="2"/>
      </rPr>
      <t>gain</t>
    </r>
  </si>
  <si>
    <t>Gain errors</t>
  </si>
  <si>
    <t>Tempco</t>
  </si>
  <si>
    <r>
      <t>e</t>
    </r>
    <r>
      <rPr>
        <b/>
        <vertAlign val="subscript"/>
        <sz val="12"/>
        <rFont val="Arial"/>
        <family val="2"/>
      </rPr>
      <t>tempco</t>
    </r>
  </si>
  <si>
    <t>Temperature coefficient errors</t>
  </si>
  <si>
    <t>Feedthru Error</t>
  </si>
  <si>
    <r>
      <t>e</t>
    </r>
    <r>
      <rPr>
        <b/>
        <vertAlign val="subscript"/>
        <sz val="12"/>
        <rFont val="Arial"/>
        <family val="2"/>
      </rPr>
      <t>feed</t>
    </r>
  </si>
  <si>
    <t>Feedthrough error in the hold mode</t>
  </si>
  <si>
    <t>Hold-Jump Error</t>
  </si>
  <si>
    <r>
      <t>e</t>
    </r>
    <r>
      <rPr>
        <b/>
        <vertAlign val="subscript"/>
        <sz val="12"/>
        <rFont val="Arial"/>
        <family val="2"/>
      </rPr>
      <t>H-J</t>
    </r>
  </si>
  <si>
    <t>Hold-jump error from logic signal</t>
  </si>
  <si>
    <t>Sample Hold Error</t>
  </si>
  <si>
    <r>
      <t>e</t>
    </r>
    <r>
      <rPr>
        <b/>
        <vertAlign val="subscript"/>
        <sz val="12"/>
        <color indexed="12"/>
        <rFont val="Arial"/>
        <family val="2"/>
      </rPr>
      <t>S/H</t>
    </r>
  </si>
  <si>
    <t>RSS sample hold entries</t>
  </si>
  <si>
    <t>Analog to Digital Converter Entries</t>
  </si>
  <si>
    <t>A/D Wordlength</t>
  </si>
  <si>
    <t>Data Bus</t>
  </si>
  <si>
    <t>Bits</t>
  </si>
  <si>
    <t>Converter wordlength</t>
  </si>
  <si>
    <t>Quantizing Uncertainty</t>
  </si>
  <si>
    <r>
      <t>e</t>
    </r>
    <r>
      <rPr>
        <b/>
        <vertAlign val="subscript"/>
        <sz val="12"/>
        <color indexed="12"/>
        <rFont val="Arial"/>
        <family val="2"/>
      </rPr>
      <t>q</t>
    </r>
  </si>
  <si>
    <t>Quantizing uncertainty as %FS of 1/2 LSB</t>
  </si>
  <si>
    <t>Mean Integral Nonlinearity</t>
  </si>
  <si>
    <r>
      <t>e</t>
    </r>
    <r>
      <rPr>
        <b/>
        <vertAlign val="subscript"/>
        <sz val="12"/>
        <rFont val="Arial"/>
        <family val="2"/>
      </rPr>
      <t>INL</t>
    </r>
  </si>
  <si>
    <t>Mean integral nonlinearity as %FS</t>
  </si>
  <si>
    <t>Noise + Distortion</t>
  </si>
  <si>
    <r>
      <t>e</t>
    </r>
    <r>
      <rPr>
        <b/>
        <vertAlign val="subscript"/>
        <sz val="12"/>
        <rFont val="Arial"/>
        <family val="2"/>
      </rPr>
      <t>N+D</t>
    </r>
  </si>
  <si>
    <t>Noise plus distortion as a %FS</t>
  </si>
  <si>
    <t>Linearity Tempco</t>
  </si>
  <si>
    <t>Linearity temperature coefficient error</t>
  </si>
  <si>
    <t>Long Term Change</t>
  </si>
  <si>
    <r>
      <t>e</t>
    </r>
    <r>
      <rPr>
        <b/>
        <vertAlign val="subscript"/>
        <sz val="12"/>
        <rFont val="Arial"/>
        <family val="2"/>
      </rPr>
      <t>change</t>
    </r>
  </si>
  <si>
    <t>Long term change error</t>
  </si>
  <si>
    <t>A/D Error</t>
  </si>
  <si>
    <r>
      <t>e</t>
    </r>
    <r>
      <rPr>
        <b/>
        <vertAlign val="subscript"/>
        <sz val="12"/>
        <color indexed="12"/>
        <rFont val="Arial"/>
        <family val="2"/>
      </rPr>
      <t>A/D</t>
    </r>
  </si>
  <si>
    <r>
      <t>e</t>
    </r>
    <r>
      <rPr>
        <b/>
        <vertAlign val="subscript"/>
        <sz val="12"/>
        <color indexed="12"/>
        <rFont val="Arial"/>
        <family val="2"/>
      </rPr>
      <t>INL</t>
    </r>
    <r>
      <rPr>
        <b/>
        <sz val="10"/>
        <color indexed="12"/>
        <rFont val="Arial"/>
        <family val="0"/>
      </rPr>
      <t xml:space="preserve"> + RSS other</t>
    </r>
  </si>
  <si>
    <t>Digital to Analog Converter Entries</t>
  </si>
  <si>
    <t>D/A Wordlength</t>
  </si>
  <si>
    <t>Data</t>
  </si>
  <si>
    <t>D/A Error</t>
  </si>
  <si>
    <r>
      <t>e</t>
    </r>
    <r>
      <rPr>
        <b/>
        <vertAlign val="subscript"/>
        <sz val="12"/>
        <color indexed="12"/>
        <rFont val="Arial"/>
        <family val="2"/>
      </rPr>
      <t>D/A</t>
    </r>
  </si>
  <si>
    <t>Data Reconstruction Entries</t>
  </si>
  <si>
    <t>Reconstructor Type</t>
  </si>
  <si>
    <t>Recovery</t>
  </si>
  <si>
    <t>b</t>
  </si>
  <si>
    <t>D, R, or B</t>
  </si>
  <si>
    <t>Type of reconstruction circuit (D=direct D/A, R=1-pole RC, B=Butterworth 3-pole filter)</t>
  </si>
  <si>
    <t>Interpolator Poles</t>
  </si>
  <si>
    <t>0 for direct D/A, 1 for 1-pole RC, 3 for Butterworth</t>
  </si>
  <si>
    <t>Mod. Vs=</t>
  </si>
  <si>
    <t>Interpolated Intersample Error</t>
  </si>
  <si>
    <r>
      <t>e</t>
    </r>
    <r>
      <rPr>
        <b/>
        <vertAlign val="subscript"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"/>
        <family val="2"/>
      </rPr>
      <t>V</t>
    </r>
  </si>
  <si>
    <t>Interpolated intersample error</t>
  </si>
  <si>
    <t>Intermediate calculations for interpolated intersample error</t>
  </si>
  <si>
    <t>Mean Interpolator Device Error</t>
  </si>
  <si>
    <r>
      <t>e</t>
    </r>
    <r>
      <rPr>
        <b/>
        <vertAlign val="subscript"/>
        <sz val="12"/>
        <color indexed="12"/>
        <rFont val="Arial"/>
        <family val="2"/>
      </rPr>
      <t>interp</t>
    </r>
  </si>
  <si>
    <t>Interpolator device error</t>
  </si>
  <si>
    <t>Reconstruction System Error</t>
  </si>
  <si>
    <r>
      <t>e</t>
    </r>
    <r>
      <rPr>
        <b/>
        <vertAlign val="subscript"/>
        <sz val="12"/>
        <color indexed="12"/>
        <rFont val="Arial"/>
        <family val="2"/>
      </rPr>
      <t>recov</t>
    </r>
  </si>
  <si>
    <r>
      <t>e</t>
    </r>
    <r>
      <rPr>
        <b/>
        <vertAlign val="subscript"/>
        <sz val="12"/>
        <color indexed="12"/>
        <rFont val="Arial"/>
        <family val="2"/>
      </rPr>
      <t>interp</t>
    </r>
    <r>
      <rPr>
        <b/>
        <sz val="10"/>
        <color indexed="12"/>
        <rFont val="Arial"/>
        <family val="2"/>
      </rPr>
      <t xml:space="preserve"> + RSS(</t>
    </r>
    <r>
      <rPr>
        <b/>
        <sz val="14"/>
        <color indexed="12"/>
        <rFont val="Symbol"/>
        <family val="1"/>
      </rPr>
      <t>e</t>
    </r>
    <r>
      <rPr>
        <b/>
        <vertAlign val="subscript"/>
        <sz val="12"/>
        <color indexed="12"/>
        <rFont val="Arial"/>
        <family val="2"/>
      </rPr>
      <t>D/A</t>
    </r>
    <r>
      <rPr>
        <b/>
        <sz val="10"/>
        <color indexed="12"/>
        <rFont val="Arial"/>
        <family val="2"/>
      </rPr>
      <t xml:space="preserve"> + </t>
    </r>
    <r>
      <rPr>
        <b/>
        <sz val="14"/>
        <color indexed="12"/>
        <rFont val="Symbol"/>
        <family val="1"/>
      </rPr>
      <t>e</t>
    </r>
    <r>
      <rPr>
        <b/>
        <vertAlign val="subscript"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"/>
        <family val="2"/>
      </rPr>
      <t>V</t>
    </r>
    <r>
      <rPr>
        <b/>
        <sz val="10"/>
        <color indexed="12"/>
        <rFont val="Arial"/>
        <family val="2"/>
      </rPr>
      <t>)</t>
    </r>
  </si>
  <si>
    <t xml:space="preserve"> </t>
  </si>
  <si>
    <t>BW =</t>
  </si>
  <si>
    <t>Cutoff Frequency</t>
  </si>
  <si>
    <r>
      <t>f</t>
    </r>
    <r>
      <rPr>
        <b/>
        <vertAlign val="subscript"/>
        <sz val="12"/>
        <color indexed="12"/>
        <rFont val="Arial"/>
        <family val="2"/>
      </rPr>
      <t>cr</t>
    </r>
  </si>
  <si>
    <t>Interpolator device filter cutoff frequency</t>
  </si>
  <si>
    <t>Sinc(1 - BW/fs)</t>
  </si>
  <si>
    <t>Sinc(1 + BW/fs)</t>
  </si>
  <si>
    <t>MSE for Direct D/A</t>
  </si>
  <si>
    <t>Filter Atten. low band</t>
  </si>
  <si>
    <t>Filter Atten. high band</t>
  </si>
  <si>
    <t>MSE for filtered recov.</t>
  </si>
  <si>
    <t>Total Amplifier Gain</t>
  </si>
  <si>
    <t>This spreadsheet developed by Patrick H. Garrett, Electrical and Computer</t>
  </si>
  <si>
    <t>Engineering Department, University of Cincinnati, Ohio, 45221-0630</t>
  </si>
  <si>
    <t xml:space="preserve">It is intended to assist in the design and error analysis of data acquisition </t>
  </si>
  <si>
    <t>and conversion systems.  Component selection and parameter accuracy</t>
  </si>
  <si>
    <t>are essential is determining the merit final system.</t>
  </si>
  <si>
    <t xml:space="preserve">   Amplifier Error Budget Parameters</t>
  </si>
  <si>
    <t>Amp1</t>
  </si>
  <si>
    <t>Amp2</t>
  </si>
  <si>
    <t>Amp3</t>
  </si>
  <si>
    <t>Amp4</t>
  </si>
  <si>
    <t xml:space="preserve">               Comment</t>
  </si>
  <si>
    <t>Amplifier Type</t>
  </si>
  <si>
    <t>AD624C</t>
  </si>
  <si>
    <t>AD215BY</t>
  </si>
  <si>
    <t>Manufacturer's part number</t>
  </si>
  <si>
    <t>Common Mode Resistance</t>
  </si>
  <si>
    <r>
      <t>R</t>
    </r>
    <r>
      <rPr>
        <b/>
        <vertAlign val="subscript"/>
        <sz val="12"/>
        <rFont val="Arial"/>
        <family val="2"/>
      </rPr>
      <t>cm</t>
    </r>
  </si>
  <si>
    <t>Ohms</t>
  </si>
  <si>
    <t>Input common mode resistance</t>
  </si>
  <si>
    <t>Differential Resistance</t>
  </si>
  <si>
    <r>
      <t>R</t>
    </r>
    <r>
      <rPr>
        <b/>
        <vertAlign val="subscript"/>
        <sz val="12"/>
        <rFont val="Arial"/>
        <family val="2"/>
      </rPr>
      <t>diff</t>
    </r>
  </si>
  <si>
    <t>Input differential resistance</t>
  </si>
  <si>
    <t>Amplifier Cutoff Frequency</t>
  </si>
  <si>
    <r>
      <t>f</t>
    </r>
    <r>
      <rPr>
        <b/>
        <vertAlign val="subscript"/>
        <sz val="12"/>
        <rFont val="Arial"/>
        <family val="2"/>
      </rPr>
      <t>hi</t>
    </r>
  </si>
  <si>
    <t xml:space="preserve">Amplifier -3db cutoff frequency </t>
  </si>
  <si>
    <t>Mean Offset Voltage Ampl.</t>
  </si>
  <si>
    <t>Vos</t>
  </si>
  <si>
    <t>DC voltage between differential inputs</t>
  </si>
  <si>
    <t>Voltage Offset Temp. Drift</t>
  </si>
  <si>
    <r>
      <t>D</t>
    </r>
    <r>
      <rPr>
        <b/>
        <sz val="10"/>
        <rFont val="Arial"/>
        <family val="2"/>
      </rPr>
      <t>V</t>
    </r>
    <r>
      <rPr>
        <b/>
        <sz val="10"/>
        <rFont val="Arial"/>
        <family val="0"/>
      </rPr>
      <t>os/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T</t>
    </r>
  </si>
  <si>
    <t>Volts/C°</t>
  </si>
  <si>
    <t>Input offset voltage temperature drift</t>
  </si>
  <si>
    <t>Temperature Variation</t>
  </si>
  <si>
    <r>
      <t>D</t>
    </r>
    <r>
      <rPr>
        <b/>
        <sz val="10"/>
        <rFont val="Arial"/>
        <family val="0"/>
      </rPr>
      <t>T</t>
    </r>
  </si>
  <si>
    <t>C°</t>
  </si>
  <si>
    <t>Circuit temperature variation</t>
  </si>
  <si>
    <t>Offset Current</t>
  </si>
  <si>
    <t>Ios</t>
  </si>
  <si>
    <r>
      <t>m</t>
    </r>
    <r>
      <rPr>
        <b/>
        <sz val="10"/>
        <rFont val="Arial"/>
        <family val="0"/>
      </rPr>
      <t>A</t>
    </r>
  </si>
  <si>
    <t>DC input offset bias current difference</t>
  </si>
  <si>
    <t>Current Offset Temp. Drift</t>
  </si>
  <si>
    <r>
      <t>D</t>
    </r>
    <r>
      <rPr>
        <b/>
        <sz val="10"/>
        <rFont val="Arial"/>
        <family val="2"/>
      </rPr>
      <t>I</t>
    </r>
    <r>
      <rPr>
        <b/>
        <sz val="10"/>
        <rFont val="Arial"/>
        <family val="0"/>
      </rPr>
      <t>os/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T</t>
    </r>
  </si>
  <si>
    <r>
      <t>m</t>
    </r>
    <r>
      <rPr>
        <b/>
        <sz val="10"/>
        <rFont val="Arial"/>
        <family val="0"/>
      </rPr>
      <t>A/C°</t>
    </r>
  </si>
  <si>
    <t>Input offset current temperature drift</t>
  </si>
  <si>
    <t>Ambient Temperature</t>
  </si>
  <si>
    <t>Tamb</t>
  </si>
  <si>
    <t>°C</t>
  </si>
  <si>
    <t>Temperature of system environment</t>
  </si>
  <si>
    <t>Sensor Current Amplitude</t>
  </si>
  <si>
    <r>
      <t>I</t>
    </r>
    <r>
      <rPr>
        <b/>
        <vertAlign val="subscript"/>
        <sz val="10"/>
        <rFont val="Arial"/>
        <family val="2"/>
      </rPr>
      <t>DC</t>
    </r>
  </si>
  <si>
    <t>Sensor DC current flow if present</t>
  </si>
  <si>
    <t>Contact Noise Frequency</t>
  </si>
  <si>
    <r>
      <t>f</t>
    </r>
    <r>
      <rPr>
        <b/>
        <vertAlign val="subscript"/>
        <sz val="12"/>
        <rFont val="Arial"/>
        <family val="2"/>
      </rPr>
      <t>contact</t>
    </r>
  </si>
  <si>
    <t>Contact noise test freq. convention 10% of BW</t>
  </si>
  <si>
    <t>Offset Voltage Nulled</t>
  </si>
  <si>
    <r>
      <t>Vos</t>
    </r>
    <r>
      <rPr>
        <b/>
        <vertAlign val="subscript"/>
        <sz val="12"/>
        <rFont val="Arial"/>
        <family val="2"/>
      </rPr>
      <t>Null</t>
    </r>
  </si>
  <si>
    <t>A or N</t>
  </si>
  <si>
    <r>
      <t>Enter A if Vos added to</t>
    </r>
    <r>
      <rPr>
        <b/>
        <sz val="10"/>
        <rFont val="Symbol"/>
        <family val="1"/>
      </rPr>
      <t xml:space="preserve"> </t>
    </r>
    <r>
      <rPr>
        <b/>
        <sz val="14"/>
        <rFont val="Symbol"/>
        <family val="1"/>
      </rPr>
      <t>e</t>
    </r>
    <r>
      <rPr>
        <b/>
        <vertAlign val="subscript"/>
        <sz val="12"/>
        <rFont val="Arial"/>
        <family val="2"/>
      </rPr>
      <t>amp</t>
    </r>
    <r>
      <rPr>
        <b/>
        <sz val="10"/>
        <rFont val="Arial"/>
        <family val="0"/>
      </rPr>
      <t>, N if nulled</t>
    </r>
  </si>
  <si>
    <t>Input Noise Voltage Equiv</t>
  </si>
  <si>
    <r>
      <t>V</t>
    </r>
    <r>
      <rPr>
        <b/>
        <vertAlign val="subscript"/>
        <sz val="12"/>
        <rFont val="Arial"/>
        <family val="2"/>
      </rPr>
      <t>n</t>
    </r>
  </si>
  <si>
    <r>
      <t>m</t>
    </r>
    <r>
      <rPr>
        <b/>
        <sz val="10"/>
        <rFont val="Arial"/>
        <family val="0"/>
      </rPr>
      <t>V/</t>
    </r>
    <r>
      <rPr>
        <b/>
        <sz val="10"/>
        <rFont val="Symbol"/>
        <family val="1"/>
      </rPr>
      <t>Ö</t>
    </r>
    <r>
      <rPr>
        <b/>
        <sz val="10"/>
        <rFont val="Arial"/>
        <family val="2"/>
      </rPr>
      <t>Hz</t>
    </r>
  </si>
  <si>
    <t>Amplifier RMS noise voltage per root Hertz</t>
  </si>
  <si>
    <t>Input Noise Current Equiv</t>
  </si>
  <si>
    <r>
      <t>I</t>
    </r>
    <r>
      <rPr>
        <b/>
        <vertAlign val="subscript"/>
        <sz val="12"/>
        <rFont val="Arial"/>
        <family val="2"/>
      </rPr>
      <t>n</t>
    </r>
  </si>
  <si>
    <r>
      <t>pA/</t>
    </r>
    <r>
      <rPr>
        <b/>
        <sz val="10"/>
        <rFont val="Symbol"/>
        <family val="1"/>
      </rPr>
      <t>Ö</t>
    </r>
    <r>
      <rPr>
        <b/>
        <sz val="10"/>
        <rFont val="Arial"/>
        <family val="0"/>
      </rPr>
      <t>Hz</t>
    </r>
  </si>
  <si>
    <t>Amplifier RMS noise current per root Hertz</t>
  </si>
  <si>
    <t>Common Mode Rejection</t>
  </si>
  <si>
    <t>CMRR</t>
  </si>
  <si>
    <t xml:space="preserve">Numeric common-mode rejection ratio </t>
  </si>
  <si>
    <t>Gain Nonlinearity</t>
  </si>
  <si>
    <r>
      <t>f</t>
    </r>
    <r>
      <rPr>
        <b/>
        <sz val="10"/>
        <rFont val="Arial"/>
        <family val="0"/>
      </rPr>
      <t>(Av)</t>
    </r>
  </si>
  <si>
    <t>ppm</t>
  </si>
  <si>
    <t>Gain nonlinearity over gain range</t>
  </si>
  <si>
    <r>
      <t>Amp. full-scale output voltage DC or RMS*</t>
    </r>
    <r>
      <rPr>
        <b/>
        <sz val="10"/>
        <rFont val="Symbol"/>
        <family val="1"/>
      </rPr>
      <t>Ö2</t>
    </r>
  </si>
  <si>
    <t>Differential Gain</t>
  </si>
  <si>
    <t>Avdiff</t>
  </si>
  <si>
    <t>Closed-Loop differential gain</t>
  </si>
  <si>
    <t>Gain Temp. Drift</t>
  </si>
  <si>
    <r>
      <t>D</t>
    </r>
    <r>
      <rPr>
        <b/>
        <sz val="10"/>
        <rFont val="Arial"/>
        <family val="0"/>
      </rPr>
      <t>Av/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</si>
  <si>
    <t>ppm/C°</t>
  </si>
  <si>
    <t>Gain temperature drift</t>
  </si>
  <si>
    <t>Source Resistance</t>
  </si>
  <si>
    <t>Rs</t>
  </si>
  <si>
    <t>Source resistance seen by respective amplifier</t>
  </si>
  <si>
    <t>Voltage Drift from Temp.</t>
  </si>
  <si>
    <r>
      <t>D</t>
    </r>
    <r>
      <rPr>
        <b/>
        <sz val="10"/>
        <color indexed="12"/>
        <rFont val="Arial"/>
        <family val="0"/>
      </rPr>
      <t>V</t>
    </r>
    <r>
      <rPr>
        <b/>
        <vertAlign val="subscript"/>
        <sz val="12"/>
        <color indexed="12"/>
        <rFont val="Arial"/>
        <family val="2"/>
      </rPr>
      <t>os</t>
    </r>
  </si>
  <si>
    <t>Mean Offset Ios Voltage</t>
  </si>
  <si>
    <t>Ios Rs</t>
  </si>
  <si>
    <t>Voltage error due to input offset current</t>
  </si>
  <si>
    <t xml:space="preserve">Thermal Noise </t>
  </si>
  <si>
    <r>
      <t>V</t>
    </r>
    <r>
      <rPr>
        <b/>
        <vertAlign val="subscript"/>
        <sz val="14"/>
        <color indexed="12"/>
        <rFont val="Arial"/>
        <family val="2"/>
      </rPr>
      <t>t</t>
    </r>
  </si>
  <si>
    <r>
      <t>V/</t>
    </r>
    <r>
      <rPr>
        <b/>
        <sz val="10"/>
        <color indexed="12"/>
        <rFont val="Symbol"/>
        <family val="1"/>
      </rPr>
      <t>Ö</t>
    </r>
    <r>
      <rPr>
        <b/>
        <sz val="10"/>
        <color indexed="12"/>
        <rFont val="Arial"/>
        <family val="0"/>
      </rPr>
      <t>Hz</t>
    </r>
  </si>
  <si>
    <t>Thermal RMS noise in sensor circuit</t>
  </si>
  <si>
    <t>Contact Noise</t>
  </si>
  <si>
    <r>
      <t>V</t>
    </r>
    <r>
      <rPr>
        <b/>
        <vertAlign val="subscript"/>
        <sz val="14"/>
        <color indexed="12"/>
        <rFont val="Arial"/>
        <family val="2"/>
      </rPr>
      <t>c</t>
    </r>
  </si>
  <si>
    <t>Contact RMS noise in sensor circuit</t>
  </si>
  <si>
    <t>Total Noise</t>
  </si>
  <si>
    <r>
      <t>V</t>
    </r>
    <r>
      <rPr>
        <b/>
        <vertAlign val="subscript"/>
        <sz val="12"/>
        <color indexed="12"/>
        <rFont val="Arial"/>
        <family val="2"/>
      </rPr>
      <t>Npp</t>
    </r>
  </si>
  <si>
    <r>
      <t>6.6RSS(Vt + Vc + Vn)</t>
    </r>
    <r>
      <rPr>
        <b/>
        <sz val="10"/>
        <color indexed="12"/>
        <rFont val="Symbol"/>
        <family val="1"/>
      </rPr>
      <t>Ö</t>
    </r>
    <r>
      <rPr>
        <b/>
        <sz val="14"/>
        <color indexed="12"/>
        <rFont val="Arial"/>
        <family val="2"/>
      </rPr>
      <t>f</t>
    </r>
    <r>
      <rPr>
        <b/>
        <sz val="10"/>
        <color indexed="12"/>
        <rFont val="Arial"/>
        <family val="2"/>
      </rPr>
      <t>hi</t>
    </r>
  </si>
  <si>
    <t>Mean Gain Nonlinearity</t>
  </si>
  <si>
    <r>
      <t>V</t>
    </r>
    <r>
      <rPr>
        <b/>
        <vertAlign val="subscript"/>
        <sz val="12"/>
        <color indexed="12"/>
        <rFont val="Arial"/>
        <family val="2"/>
      </rPr>
      <t>f(Av)</t>
    </r>
  </si>
  <si>
    <t>Voltage error due to gain nonlinearity</t>
  </si>
  <si>
    <t>Gain Temperature Drift</t>
  </si>
  <si>
    <r>
      <t>V</t>
    </r>
    <r>
      <rPr>
        <b/>
        <vertAlign val="subscript"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"/>
        <family val="0"/>
      </rPr>
      <t>Av/</t>
    </r>
    <r>
      <rPr>
        <b/>
        <vertAlign val="subscript"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"/>
        <family val="0"/>
      </rPr>
      <t>T</t>
    </r>
  </si>
  <si>
    <t>Voltage error due to gain temperature drift</t>
  </si>
  <si>
    <t>Amplifier Errors</t>
  </si>
  <si>
    <r>
      <t>e</t>
    </r>
    <r>
      <rPr>
        <b/>
        <vertAlign val="subscript"/>
        <sz val="12"/>
        <color indexed="12"/>
        <rFont val="Arial"/>
        <family val="2"/>
      </rPr>
      <t>amp</t>
    </r>
  </si>
  <si>
    <r>
      <t>(</t>
    </r>
    <r>
      <rPr>
        <b/>
        <sz val="10"/>
        <color indexed="12"/>
        <rFont val="Symbol"/>
        <family val="1"/>
      </rPr>
      <t xml:space="preserve">S </t>
    </r>
    <r>
      <rPr>
        <b/>
        <sz val="9"/>
        <color indexed="12"/>
        <rFont val="Arial"/>
        <family val="2"/>
      </rPr>
      <t>mean</t>
    </r>
    <r>
      <rPr>
        <b/>
        <sz val="10"/>
        <color indexed="12"/>
        <rFont val="Arial"/>
        <family val="2"/>
      </rPr>
      <t xml:space="preserve"> V + RSS </t>
    </r>
    <r>
      <rPr>
        <b/>
        <sz val="9"/>
        <color indexed="12"/>
        <rFont val="Arial"/>
        <family val="2"/>
      </rPr>
      <t>other</t>
    </r>
    <r>
      <rPr>
        <b/>
        <sz val="10"/>
        <color indexed="12"/>
        <rFont val="Arial"/>
        <family val="2"/>
      </rPr>
      <t xml:space="preserve"> V) * (Av</t>
    </r>
    <r>
      <rPr>
        <b/>
        <vertAlign val="subscript"/>
        <sz val="12"/>
        <color indexed="12"/>
        <rFont val="Arial"/>
        <family val="2"/>
      </rPr>
      <t>diff</t>
    </r>
    <r>
      <rPr>
        <b/>
        <sz val="10"/>
        <color indexed="12"/>
        <rFont val="Arial"/>
        <family val="2"/>
      </rPr>
      <t>/Vo</t>
    </r>
    <r>
      <rPr>
        <b/>
        <vertAlign val="subscript"/>
        <sz val="10"/>
        <color indexed="12"/>
        <rFont val="Arial"/>
        <family val="2"/>
      </rPr>
      <t>FS</t>
    </r>
    <r>
      <rPr>
        <b/>
        <sz val="10"/>
        <color indexed="12"/>
        <rFont val="Arial"/>
        <family val="2"/>
      </rPr>
      <t>) * 100%</t>
    </r>
  </si>
  <si>
    <t>Results Sheet</t>
  </si>
  <si>
    <t>Fesin</t>
  </si>
  <si>
    <t>Feharm</t>
  </si>
  <si>
    <t>Error Source</t>
  </si>
  <si>
    <t>Sym</t>
  </si>
  <si>
    <t>Data Conversion System Error</t>
  </si>
  <si>
    <r>
      <t>e</t>
    </r>
    <r>
      <rPr>
        <b/>
        <vertAlign val="subscript"/>
        <sz val="12"/>
        <rFont val="Arial"/>
        <family val="2"/>
      </rPr>
      <t>term</t>
    </r>
  </si>
  <si>
    <r>
      <t>Amplifiers</t>
    </r>
    <r>
      <rPr>
        <b/>
        <vertAlign val="subscript"/>
        <sz val="12"/>
        <rFont val="Arial"/>
        <family val="2"/>
      </rPr>
      <t>1-4</t>
    </r>
  </si>
  <si>
    <r>
      <t>e</t>
    </r>
    <r>
      <rPr>
        <b/>
        <vertAlign val="subscript"/>
        <sz val="12"/>
        <rFont val="Arial"/>
        <family val="2"/>
      </rPr>
      <t>amp</t>
    </r>
  </si>
  <si>
    <t>Filter Mean</t>
  </si>
  <si>
    <r>
      <t>e</t>
    </r>
    <r>
      <rPr>
        <b/>
        <vertAlign val="subscript"/>
        <sz val="12"/>
        <rFont val="Arial"/>
        <family val="2"/>
      </rPr>
      <t>filter</t>
    </r>
  </si>
  <si>
    <t>Signal Quality</t>
  </si>
  <si>
    <r>
      <t>e</t>
    </r>
    <r>
      <rPr>
        <b/>
        <vertAlign val="subscript"/>
        <sz val="12"/>
        <rFont val="Arial"/>
        <family val="2"/>
      </rPr>
      <t>sq</t>
    </r>
  </si>
  <si>
    <t>Noise Aliasing</t>
  </si>
  <si>
    <r>
      <t>e</t>
    </r>
    <r>
      <rPr>
        <b/>
        <vertAlign val="subscript"/>
        <sz val="12"/>
        <color indexed="8"/>
        <rFont val="Arial"/>
        <family val="2"/>
      </rPr>
      <t>alias</t>
    </r>
  </si>
  <si>
    <t>Sinc Mean</t>
  </si>
  <si>
    <r>
      <t>e</t>
    </r>
    <r>
      <rPr>
        <b/>
        <vertAlign val="subscript"/>
        <sz val="12"/>
        <color indexed="8"/>
        <rFont val="Arial"/>
        <family val="2"/>
      </rPr>
      <t>sinc</t>
    </r>
  </si>
  <si>
    <t>Aperture Mean</t>
  </si>
  <si>
    <r>
      <t>e</t>
    </r>
    <r>
      <rPr>
        <b/>
        <vertAlign val="subscript"/>
        <sz val="12"/>
        <color indexed="8"/>
        <rFont val="Arial"/>
        <family val="2"/>
      </rPr>
      <t>a</t>
    </r>
  </si>
  <si>
    <t>Multiplexer Mean</t>
  </si>
  <si>
    <r>
      <t>e</t>
    </r>
    <r>
      <rPr>
        <b/>
        <vertAlign val="subscript"/>
        <sz val="12"/>
        <color indexed="8"/>
        <rFont val="Arial"/>
        <family val="2"/>
      </rPr>
      <t>AMUX</t>
    </r>
  </si>
  <si>
    <t>Sample Hold</t>
  </si>
  <si>
    <r>
      <t>e</t>
    </r>
    <r>
      <rPr>
        <b/>
        <vertAlign val="subscript"/>
        <sz val="12"/>
        <color indexed="8"/>
        <rFont val="Arial"/>
        <family val="2"/>
      </rPr>
      <t>S/H</t>
    </r>
  </si>
  <si>
    <t>A/D Converter</t>
  </si>
  <si>
    <r>
      <t>e</t>
    </r>
    <r>
      <rPr>
        <b/>
        <vertAlign val="subscript"/>
        <sz val="12"/>
        <color indexed="8"/>
        <rFont val="Arial"/>
        <family val="2"/>
      </rPr>
      <t>A/D</t>
    </r>
  </si>
  <si>
    <t>D/A Converter</t>
  </si>
  <si>
    <r>
      <t>e</t>
    </r>
    <r>
      <rPr>
        <b/>
        <vertAlign val="subscript"/>
        <sz val="12"/>
        <color indexed="8"/>
        <rFont val="Arial"/>
        <family val="2"/>
      </rPr>
      <t>D/A</t>
    </r>
  </si>
  <si>
    <t>S=s, I=m</t>
  </si>
  <si>
    <t>S=m, I=m</t>
  </si>
  <si>
    <t>S=m, I=s</t>
  </si>
  <si>
    <t>S=s, I=s</t>
  </si>
  <si>
    <t>Interpolator Device Mean</t>
  </si>
  <si>
    <r>
      <t>e</t>
    </r>
    <r>
      <rPr>
        <b/>
        <vertAlign val="subscript"/>
        <sz val="12"/>
        <color indexed="8"/>
        <rFont val="Arial"/>
        <family val="2"/>
      </rPr>
      <t>interp</t>
    </r>
  </si>
  <si>
    <t>Interpolated Intersample</t>
  </si>
  <si>
    <r>
      <t>e</t>
    </r>
    <r>
      <rPr>
        <b/>
        <vertAlign val="subscript"/>
        <sz val="12"/>
        <color indexed="8"/>
        <rFont val="Symbol"/>
        <family val="1"/>
      </rPr>
      <t>D</t>
    </r>
    <r>
      <rPr>
        <b/>
        <vertAlign val="subscript"/>
        <sz val="12"/>
        <color indexed="8"/>
        <rFont val="Arial"/>
        <family val="2"/>
      </rPr>
      <t>V</t>
    </r>
  </si>
  <si>
    <r>
      <t>S</t>
    </r>
    <r>
      <rPr>
        <b/>
        <sz val="10"/>
        <color indexed="12"/>
        <rFont val="Arial"/>
        <family val="0"/>
      </rPr>
      <t>mean</t>
    </r>
  </si>
  <si>
    <r>
      <t>e</t>
    </r>
    <r>
      <rPr>
        <b/>
        <vertAlign val="subscript"/>
        <sz val="12"/>
        <color indexed="12"/>
        <rFont val="Arial"/>
        <family val="2"/>
      </rPr>
      <t>mean</t>
    </r>
  </si>
  <si>
    <r>
      <t>1</t>
    </r>
    <r>
      <rPr>
        <b/>
        <sz val="10"/>
        <color indexed="12"/>
        <rFont val="Symbol"/>
        <family val="1"/>
      </rPr>
      <t>s</t>
    </r>
    <r>
      <rPr>
        <b/>
        <sz val="10"/>
        <color indexed="12"/>
        <rFont val="Arial"/>
        <family val="2"/>
      </rPr>
      <t xml:space="preserve"> RSS other</t>
    </r>
  </si>
  <si>
    <r>
      <t>e</t>
    </r>
    <r>
      <rPr>
        <b/>
        <vertAlign val="subscript"/>
        <sz val="12"/>
        <color indexed="12"/>
        <rFont val="Arial"/>
        <family val="2"/>
      </rPr>
      <t>RSS</t>
    </r>
  </si>
  <si>
    <t>Total Error</t>
  </si>
  <si>
    <r>
      <t>e</t>
    </r>
    <r>
      <rPr>
        <b/>
        <vertAlign val="subscript"/>
        <sz val="14"/>
        <color indexed="12"/>
        <rFont val="Arial"/>
        <family val="2"/>
      </rPr>
      <t>total</t>
    </r>
  </si>
  <si>
    <t xml:space="preserve">     Errors Vs. Signal Bandwidth</t>
  </si>
  <si>
    <r>
      <t>e</t>
    </r>
    <r>
      <rPr>
        <b/>
        <vertAlign val="subscript"/>
        <sz val="12"/>
        <color indexed="8"/>
        <rFont val="Arial"/>
        <family val="2"/>
      </rPr>
      <t>conver</t>
    </r>
  </si>
  <si>
    <r>
      <t>e</t>
    </r>
    <r>
      <rPr>
        <b/>
        <vertAlign val="subscript"/>
        <sz val="12"/>
        <color indexed="8"/>
        <rFont val="Arial"/>
        <family val="2"/>
      </rPr>
      <t>total</t>
    </r>
  </si>
  <si>
    <t>Bandwidth</t>
  </si>
  <si>
    <t>Input Conv.</t>
  </si>
  <si>
    <t>Output Total</t>
  </si>
  <si>
    <t>(Hertz)</t>
  </si>
  <si>
    <t>Error (%FS)</t>
  </si>
  <si>
    <t>BW dependent values</t>
  </si>
  <si>
    <t>input</t>
  </si>
  <si>
    <t>mean</t>
  </si>
  <si>
    <t>rss</t>
  </si>
  <si>
    <t>output</t>
  </si>
  <si>
    <t>Mean</t>
  </si>
  <si>
    <t>Rss</t>
  </si>
  <si>
    <t>selected</t>
  </si>
  <si>
    <t>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</si>
</sst>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E+0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00"/>
    <numFmt numFmtId="172" formatCode="0.00000000"/>
    <numFmt numFmtId="173" formatCode="0.0000000"/>
    <numFmt numFmtId="174" formatCode="0E+00"/>
    <numFmt numFmtId="175" formatCode="0.000E+00"/>
    <numFmt numFmtId="176" formatCode="0.0000E+00"/>
    <numFmt numFmtId="177" formatCode="0.0000000E+00"/>
    <numFmt numFmtId="178" formatCode="0.0000000000"/>
    <numFmt numFmtId="179" formatCode="#,##0.000"/>
    <numFmt numFmtId="180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0"/>
    </font>
    <font>
      <b/>
      <sz val="14"/>
      <name val="Symbol"/>
      <family val="1"/>
    </font>
    <font>
      <b/>
      <vertAlign val="subscript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vertAlign val="subscript"/>
      <sz val="12"/>
      <color indexed="12"/>
      <name val="Symbol"/>
      <family val="1"/>
    </font>
    <font>
      <b/>
      <sz val="14"/>
      <color indexed="12"/>
      <name val="Symbol"/>
      <family val="1"/>
    </font>
    <font>
      <b/>
      <sz val="10"/>
      <color indexed="10"/>
      <name val="Arial"/>
      <family val="0"/>
    </font>
    <font>
      <b/>
      <sz val="14"/>
      <color indexed="8"/>
      <name val="Symbol"/>
      <family val="1"/>
    </font>
    <font>
      <b/>
      <vertAlign val="subscript"/>
      <sz val="12"/>
      <color indexed="8"/>
      <name val="Arial"/>
      <family val="2"/>
    </font>
    <font>
      <b/>
      <vertAlign val="subscript"/>
      <sz val="12"/>
      <color indexed="8"/>
      <name val="Symbol"/>
      <family val="1"/>
    </font>
    <font>
      <b/>
      <sz val="16"/>
      <color indexed="8"/>
      <name val="Symbol"/>
      <family val="1"/>
    </font>
    <font>
      <b/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20"/>
      <color indexed="10"/>
      <name val="Arial"/>
      <family val="2"/>
    </font>
    <font>
      <b/>
      <sz val="10"/>
      <color indexed="12"/>
      <name val="Symbol"/>
      <family val="1"/>
    </font>
    <font>
      <b/>
      <vertAlign val="subscript"/>
      <sz val="14"/>
      <color indexed="12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vertAlign val="subscript"/>
      <sz val="10"/>
      <color indexed="12"/>
      <name val="Arial"/>
      <family val="2"/>
    </font>
    <font>
      <b/>
      <sz val="12"/>
      <color indexed="12"/>
      <name val="Symbol"/>
      <family val="1"/>
    </font>
    <font>
      <b/>
      <sz val="14"/>
      <color indexed="12"/>
      <name val="Arial"/>
      <family val="2"/>
    </font>
    <font>
      <sz val="12"/>
      <color indexed="12"/>
      <name val="Arial"/>
      <family val="0"/>
    </font>
    <font>
      <b/>
      <sz val="9"/>
      <color indexed="12"/>
      <name val="Arial"/>
      <family val="2"/>
    </font>
    <font>
      <b/>
      <sz val="18"/>
      <color indexed="12"/>
      <name val="Symbol"/>
      <family val="1"/>
    </font>
    <font>
      <b/>
      <sz val="14"/>
      <color indexed="8"/>
      <name val="Arial"/>
      <family val="2"/>
    </font>
    <font>
      <b/>
      <vertAlign val="superscript"/>
      <sz val="12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169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0" xfId="0" applyFont="1" applyAlignment="1">
      <alignment horizontal="left"/>
    </xf>
    <xf numFmtId="0" fontId="34" fillId="0" borderId="0" xfId="0" applyFont="1" applyAlignment="1">
      <alignment/>
    </xf>
    <xf numFmtId="0" fontId="1" fillId="0" borderId="0" xfId="0" applyFont="1" applyAlignment="1">
      <alignment vertical="top"/>
    </xf>
    <xf numFmtId="0" fontId="24" fillId="0" borderId="0" xfId="0" applyFont="1" applyAlignment="1">
      <alignment vertical="top"/>
    </xf>
    <xf numFmtId="16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75" fontId="9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68" fontId="9" fillId="2" borderId="0" xfId="0" applyNumberFormat="1" applyFont="1" applyFill="1" applyAlignment="1">
      <alignment horizontal="center"/>
    </xf>
    <xf numFmtId="169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167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1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169" fontId="9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/>
    </xf>
    <xf numFmtId="168" fontId="9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175" fontId="9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69" fontId="15" fillId="2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24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69" fontId="24" fillId="0" borderId="0" xfId="0" applyNumberFormat="1" applyFont="1" applyFill="1" applyAlignment="1">
      <alignment horizontal="center"/>
    </xf>
    <xf numFmtId="169" fontId="41" fillId="0" borderId="0" xfId="0" applyNumberFormat="1" applyFont="1" applyFill="1" applyAlignment="1">
      <alignment/>
    </xf>
    <xf numFmtId="0" fontId="34" fillId="2" borderId="0" xfId="0" applyFont="1" applyFill="1" applyAlignment="1">
      <alignment horizontal="left" vertical="top"/>
    </xf>
    <xf numFmtId="170" fontId="9" fillId="2" borderId="0" xfId="0" applyNumberFormat="1" applyFont="1" applyFill="1" applyAlignment="1">
      <alignment horizontal="center"/>
    </xf>
    <xf numFmtId="172" fontId="9" fillId="0" borderId="0" xfId="0" applyNumberFormat="1" applyFont="1" applyAlignment="1">
      <alignment/>
    </xf>
    <xf numFmtId="175" fontId="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Error Vesus Bandwidth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175"/>
          <c:w val="0.7222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Results!$B$44:$B$45</c:f>
              <c:strCache>
                <c:ptCount val="1"/>
                <c:pt idx="0">
                  <c:v>Input Conv. Error (%FS)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Results!$A$46:$A$56</c:f>
              <c:numCache>
                <c:ptCount val="11"/>
                <c:pt idx="0">
                  <c:v>10</c:v>
                </c:pt>
                <c:pt idx="1">
                  <c:v>15.848931924611124</c:v>
                </c:pt>
                <c:pt idx="2">
                  <c:v>25.11886431509578</c:v>
                </c:pt>
                <c:pt idx="3">
                  <c:v>39.81071705534973</c:v>
                </c:pt>
                <c:pt idx="4">
                  <c:v>63.095734448019314</c:v>
                </c:pt>
                <c:pt idx="5">
                  <c:v>100</c:v>
                </c:pt>
                <c:pt idx="6">
                  <c:v>158.4893192461113</c:v>
                </c:pt>
                <c:pt idx="7">
                  <c:v>251.188643150958</c:v>
                </c:pt>
                <c:pt idx="8">
                  <c:v>398.1071705534972</c:v>
                </c:pt>
                <c:pt idx="9">
                  <c:v>630.9573444801932</c:v>
                </c:pt>
                <c:pt idx="10">
                  <c:v>1000</c:v>
                </c:pt>
              </c:numCache>
            </c:numRef>
          </c:cat>
          <c:val>
            <c:numRef>
              <c:f>Results!$B$46:$B$56</c:f>
              <c:numCache>
                <c:ptCount val="11"/>
                <c:pt idx="0">
                  <c:v>0.32670840501285114</c:v>
                </c:pt>
                <c:pt idx="1">
                  <c:v>0.34584226476380375</c:v>
                </c:pt>
                <c:pt idx="2">
                  <c:v>0.38524101026761515</c:v>
                </c:pt>
                <c:pt idx="3">
                  <c:v>0.458684484096658</c:v>
                </c:pt>
                <c:pt idx="4">
                  <c:v>0.5852865697054928</c:v>
                </c:pt>
                <c:pt idx="5">
                  <c:v>0.7937494781894876</c:v>
                </c:pt>
                <c:pt idx="6">
                  <c:v>0.7937494781894878</c:v>
                </c:pt>
                <c:pt idx="7">
                  <c:v>0.7937494781894878</c:v>
                </c:pt>
                <c:pt idx="8">
                  <c:v>0.7937494781894876</c:v>
                </c:pt>
                <c:pt idx="9">
                  <c:v>0.7937494781894878</c:v>
                </c:pt>
                <c:pt idx="10">
                  <c:v>0.7937494781894878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Results!$C$44:$C$45</c:f>
              <c:strCache>
                <c:ptCount val="1"/>
                <c:pt idx="0">
                  <c:v>Input Conv. Error (%FS)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Results!$A$46:$A$56</c:f>
              <c:numCache>
                <c:ptCount val="11"/>
                <c:pt idx="0">
                  <c:v>10</c:v>
                </c:pt>
                <c:pt idx="1">
                  <c:v>15.848931924611124</c:v>
                </c:pt>
                <c:pt idx="2">
                  <c:v>25.11886431509578</c:v>
                </c:pt>
                <c:pt idx="3">
                  <c:v>39.81071705534973</c:v>
                </c:pt>
                <c:pt idx="4">
                  <c:v>63.095734448019314</c:v>
                </c:pt>
                <c:pt idx="5">
                  <c:v>100</c:v>
                </c:pt>
                <c:pt idx="6">
                  <c:v>158.4893192461113</c:v>
                </c:pt>
                <c:pt idx="7">
                  <c:v>251.188643150958</c:v>
                </c:pt>
                <c:pt idx="8">
                  <c:v>398.1071705534972</c:v>
                </c:pt>
                <c:pt idx="9">
                  <c:v>630.9573444801932</c:v>
                </c:pt>
                <c:pt idx="10">
                  <c:v>1000</c:v>
                </c:pt>
              </c:numCache>
            </c:numRef>
          </c:cat>
          <c:val>
            <c:numRef>
              <c:f>Results!$C$46:$C$56</c:f>
              <c:numCache>
                <c:ptCount val="11"/>
              </c:numCache>
            </c:numRef>
          </c:val>
          <c:smooth val="0"/>
        </c:ser>
        <c:ser>
          <c:idx val="2"/>
          <c:order val="2"/>
          <c:tx>
            <c:strRef>
              <c:f>Results!$D$44:$D$45</c:f>
              <c:strCache>
                <c:ptCount val="1"/>
                <c:pt idx="0">
                  <c:v>Output Total Error (%FS)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Results!$A$46:$A$56</c:f>
              <c:numCache>
                <c:ptCount val="11"/>
                <c:pt idx="0">
                  <c:v>10</c:v>
                </c:pt>
                <c:pt idx="1">
                  <c:v>15.848931924611124</c:v>
                </c:pt>
                <c:pt idx="2">
                  <c:v>25.11886431509578</c:v>
                </c:pt>
                <c:pt idx="3">
                  <c:v>39.81071705534973</c:v>
                </c:pt>
                <c:pt idx="4">
                  <c:v>63.095734448019314</c:v>
                </c:pt>
                <c:pt idx="5">
                  <c:v>100</c:v>
                </c:pt>
                <c:pt idx="6">
                  <c:v>158.4893192461113</c:v>
                </c:pt>
                <c:pt idx="7">
                  <c:v>251.188643150958</c:v>
                </c:pt>
                <c:pt idx="8">
                  <c:v>398.1071705534972</c:v>
                </c:pt>
                <c:pt idx="9">
                  <c:v>630.9573444801932</c:v>
                </c:pt>
                <c:pt idx="10">
                  <c:v>1000</c:v>
                </c:pt>
              </c:numCache>
            </c:numRef>
          </c:cat>
          <c:val>
            <c:numRef>
              <c:f>Results!$D$46:$D$56</c:f>
              <c:numCache>
                <c:ptCount val="11"/>
                <c:pt idx="0">
                  <c:v>0.4272226398744438</c:v>
                </c:pt>
                <c:pt idx="1">
                  <c:v>0.42722265098797896</c:v>
                </c:pt>
                <c:pt idx="2">
                  <c:v>0.4272226789044085</c:v>
                </c:pt>
                <c:pt idx="3">
                  <c:v>0.4272227490304102</c:v>
                </c:pt>
                <c:pt idx="4">
                  <c:v>0.4272229251985288</c:v>
                </c:pt>
                <c:pt idx="5">
                  <c:v>0.4272233678362988</c:v>
                </c:pt>
                <c:pt idx="6">
                  <c:v>0.4272233682086295</c:v>
                </c:pt>
                <c:pt idx="7">
                  <c:v>0.4272233691442176</c:v>
                </c:pt>
                <c:pt idx="8">
                  <c:v>0.42722337149642764</c:v>
                </c:pt>
                <c:pt idx="9">
                  <c:v>0.4272233774183008</c:v>
                </c:pt>
                <c:pt idx="10">
                  <c:v>0.42722339237814433</c:v>
                </c:pt>
              </c:numCache>
            </c:numRef>
          </c:val>
          <c:smooth val="0"/>
        </c:ser>
        <c:axId val="33747136"/>
        <c:axId val="35288769"/>
      </c:lineChart>
      <c:catAx>
        <c:axId val="3374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Bandwidth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88769"/>
        <c:crosses val="autoZero"/>
        <c:auto val="0"/>
        <c:lblOffset val="100"/>
        <c:noMultiLvlLbl val="0"/>
      </c:catAx>
      <c:valAx>
        <c:axId val="35288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47136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3"/>
          <c:y val="0.46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209550</xdr:colOff>
      <xdr:row>28</xdr:row>
      <xdr:rowOff>66675</xdr:rowOff>
    </xdr:to>
    <xdr:graphicFrame>
      <xdr:nvGraphicFramePr>
        <xdr:cNvPr id="1" name="Chart 6"/>
        <xdr:cNvGraphicFramePr/>
      </xdr:nvGraphicFramePr>
      <xdr:xfrm>
        <a:off x="323850" y="171450"/>
        <a:ext cx="75247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A1">
      <selection activeCell="E44" sqref="E44"/>
    </sheetView>
  </sheetViews>
  <sheetFormatPr defaultColWidth="9.140625" defaultRowHeight="15" customHeight="1"/>
  <cols>
    <col min="1" max="1" width="28.57421875" style="0" customWidth="1"/>
    <col min="2" max="2" width="10.28125" style="6" customWidth="1"/>
    <col min="3" max="3" width="11.7109375" style="2" customWidth="1"/>
    <col min="4" max="4" width="9.00390625" style="2" customWidth="1"/>
    <col min="5" max="5" width="79.00390625" style="1" customWidth="1"/>
    <col min="6" max="6" width="21.57421875" style="0" customWidth="1"/>
  </cols>
  <sheetData>
    <row r="1" spans="1:5" ht="37.5" customHeight="1">
      <c r="A1" s="47" t="s">
        <v>0</v>
      </c>
      <c r="B1"/>
      <c r="C1"/>
      <c r="D1"/>
      <c r="E1"/>
    </row>
    <row r="2" spans="2:5" ht="50.25" customHeight="1">
      <c r="B2"/>
      <c r="C2" s="65" t="s">
        <v>1</v>
      </c>
      <c r="D2"/>
      <c r="E2"/>
    </row>
    <row r="3" spans="1:5" ht="38.25" customHeight="1">
      <c r="A3" s="3" t="s">
        <v>2</v>
      </c>
      <c r="B3" s="4" t="s">
        <v>3</v>
      </c>
      <c r="C3" s="7" t="s">
        <v>4</v>
      </c>
      <c r="D3" s="7" t="s">
        <v>5</v>
      </c>
      <c r="E3" s="19" t="s">
        <v>6</v>
      </c>
    </row>
    <row r="4" spans="1:5" ht="27.75" customHeight="1">
      <c r="A4" s="3"/>
      <c r="B4" s="48" t="s">
        <v>7</v>
      </c>
      <c r="C4"/>
      <c r="D4" s="7"/>
      <c r="E4" s="7"/>
    </row>
    <row r="5" spans="1:5" ht="17.25" customHeight="1">
      <c r="A5" s="1" t="s">
        <v>8</v>
      </c>
      <c r="B5" s="17" t="s">
        <v>9</v>
      </c>
      <c r="C5" s="2" t="s">
        <v>10</v>
      </c>
      <c r="D5" s="2" t="s">
        <v>11</v>
      </c>
      <c r="E5" s="1" t="s">
        <v>12</v>
      </c>
    </row>
    <row r="6" spans="1:5" ht="16.5" customHeight="1">
      <c r="A6" s="1" t="s">
        <v>13</v>
      </c>
      <c r="B6" s="17" t="s">
        <v>14</v>
      </c>
      <c r="C6" s="2">
        <v>0.1</v>
      </c>
      <c r="D6" s="2" t="s">
        <v>15</v>
      </c>
      <c r="E6" s="1" t="s">
        <v>16</v>
      </c>
    </row>
    <row r="7" spans="1:5" ht="15" customHeight="1">
      <c r="A7" s="1" t="s">
        <v>17</v>
      </c>
      <c r="B7" s="2" t="s">
        <v>18</v>
      </c>
      <c r="C7" s="2">
        <v>0.1</v>
      </c>
      <c r="D7" s="2" t="s">
        <v>19</v>
      </c>
      <c r="E7" s="1" t="s">
        <v>20</v>
      </c>
    </row>
    <row r="8" spans="1:5" ht="17.25" customHeight="1">
      <c r="A8" s="1" t="s">
        <v>21</v>
      </c>
      <c r="B8" s="2" t="s">
        <v>22</v>
      </c>
      <c r="C8" s="45">
        <v>5</v>
      </c>
      <c r="D8" s="2" t="s">
        <v>19</v>
      </c>
      <c r="E8" s="1" t="s">
        <v>23</v>
      </c>
    </row>
    <row r="9" spans="1:5" ht="15" customHeight="1">
      <c r="A9" s="1" t="s">
        <v>24</v>
      </c>
      <c r="B9" s="2" t="s">
        <v>25</v>
      </c>
      <c r="C9" s="2">
        <v>1000</v>
      </c>
      <c r="D9" s="2" t="s">
        <v>26</v>
      </c>
      <c r="E9" s="1" t="s">
        <v>27</v>
      </c>
    </row>
    <row r="10" spans="1:5" ht="15" customHeight="1">
      <c r="A10" s="1" t="s">
        <v>28</v>
      </c>
      <c r="B10" s="17" t="s">
        <v>9</v>
      </c>
      <c r="C10" s="2" t="s">
        <v>10</v>
      </c>
      <c r="D10" s="2" t="s">
        <v>11</v>
      </c>
      <c r="E10" s="1" t="s">
        <v>12</v>
      </c>
    </row>
    <row r="11" spans="1:5" s="5" customFormat="1" ht="15" customHeight="1">
      <c r="A11" s="1" t="s">
        <v>29</v>
      </c>
      <c r="B11" s="2" t="s">
        <v>30</v>
      </c>
      <c r="C11" s="33">
        <v>1</v>
      </c>
      <c r="D11" s="2" t="s">
        <v>19</v>
      </c>
      <c r="E11" s="1" t="s">
        <v>31</v>
      </c>
    </row>
    <row r="12" spans="1:8" s="5" customFormat="1" ht="15" customHeight="1">
      <c r="A12" s="1" t="s">
        <v>32</v>
      </c>
      <c r="B12" s="2" t="s">
        <v>33</v>
      </c>
      <c r="C12" s="2">
        <v>0.007</v>
      </c>
      <c r="D12" s="2" t="s">
        <v>19</v>
      </c>
      <c r="E12" s="1" t="s">
        <v>34</v>
      </c>
      <c r="F12" s="6"/>
      <c r="G12"/>
      <c r="H12"/>
    </row>
    <row r="13" spans="1:5" ht="15.75" customHeight="1">
      <c r="A13" s="66" t="s">
        <v>35</v>
      </c>
      <c r="B13" s="62" t="s">
        <v>36</v>
      </c>
      <c r="C13" s="62" t="s">
        <v>37</v>
      </c>
      <c r="D13" s="67" t="s">
        <v>38</v>
      </c>
      <c r="E13" s="66" t="s">
        <v>39</v>
      </c>
    </row>
    <row r="14" spans="1:5" ht="15" customHeight="1">
      <c r="A14" s="1" t="s">
        <v>40</v>
      </c>
      <c r="B14" s="18" t="s">
        <v>41</v>
      </c>
      <c r="C14" s="2">
        <v>0</v>
      </c>
      <c r="D14" s="2" t="s">
        <v>26</v>
      </c>
      <c r="E14" s="1" t="s">
        <v>42</v>
      </c>
    </row>
    <row r="15" spans="1:6" ht="15" customHeight="1">
      <c r="A15" s="1" t="s">
        <v>43</v>
      </c>
      <c r="B15" s="2" t="s">
        <v>44</v>
      </c>
      <c r="C15" s="2" t="s">
        <v>45</v>
      </c>
      <c r="D15" s="2" t="s">
        <v>38</v>
      </c>
      <c r="E15" s="1" t="s">
        <v>46</v>
      </c>
      <c r="F15" s="46" t="s">
        <v>47</v>
      </c>
    </row>
    <row r="16" spans="1:5" s="5" customFormat="1" ht="15" customHeight="1">
      <c r="A16" s="1" t="s">
        <v>48</v>
      </c>
      <c r="B16" s="17" t="s">
        <v>49</v>
      </c>
      <c r="C16" s="2">
        <v>0.01</v>
      </c>
      <c r="D16" s="2" t="s">
        <v>15</v>
      </c>
      <c r="E16" s="1" t="s">
        <v>50</v>
      </c>
    </row>
    <row r="17" spans="1:6" s="5" customFormat="1" ht="15" customHeight="1">
      <c r="A17" s="1" t="s">
        <v>51</v>
      </c>
      <c r="B17" s="2" t="s">
        <v>52</v>
      </c>
      <c r="C17" s="2" t="s">
        <v>395</v>
      </c>
      <c r="D17" s="2"/>
      <c r="E17" s="1" t="s">
        <v>53</v>
      </c>
      <c r="F17"/>
    </row>
    <row r="18" spans="1:5" ht="17.25" customHeight="1">
      <c r="A18" s="68" t="s">
        <v>54</v>
      </c>
      <c r="B18" s="69" t="s">
        <v>55</v>
      </c>
      <c r="C18" s="70">
        <f>C8/C7</f>
        <v>50</v>
      </c>
      <c r="D18" s="70" t="s">
        <v>56</v>
      </c>
      <c r="E18" s="68" t="s">
        <v>57</v>
      </c>
    </row>
    <row r="19" spans="1:5" s="13" customFormat="1" ht="18.75" customHeight="1">
      <c r="A19" s="68" t="s">
        <v>58</v>
      </c>
      <c r="B19" s="70" t="s">
        <v>59</v>
      </c>
      <c r="C19" s="71">
        <f>(C12/'Other Data'!C11)^2</f>
        <v>4.9000000000000005E-05</v>
      </c>
      <c r="D19" s="70" t="s">
        <v>60</v>
      </c>
      <c r="E19" s="68" t="s">
        <v>61</v>
      </c>
    </row>
    <row r="20" spans="1:3" ht="29.25" customHeight="1">
      <c r="A20" s="1"/>
      <c r="B20" s="48" t="s">
        <v>62</v>
      </c>
      <c r="C20"/>
    </row>
    <row r="21" spans="1:6" s="5" customFormat="1" ht="15" customHeight="1">
      <c r="A21" s="1" t="s">
        <v>63</v>
      </c>
      <c r="B21" s="2" t="s">
        <v>64</v>
      </c>
      <c r="C21" s="2">
        <v>3</v>
      </c>
      <c r="D21" s="2" t="s">
        <v>65</v>
      </c>
      <c r="E21" s="1" t="str">
        <f>IF(C17="h","Valid for 1-8 Butterworth poles for harmonic signals","Valid for 1 or 3 Butterworth poles for sinusoidal and DC signals")</f>
        <v>Valid for 1-8 Butterworth poles for harmonic signals</v>
      </c>
      <c r="F21" s="5">
        <f>IF(C17="s",IF(C21&lt;3,1,3),C21)</f>
        <v>3</v>
      </c>
    </row>
    <row r="22" spans="1:5" ht="15" customHeight="1">
      <c r="A22" s="1" t="s">
        <v>66</v>
      </c>
      <c r="B22" s="2"/>
      <c r="C22" s="2" t="s">
        <v>45</v>
      </c>
      <c r="D22" s="2" t="s">
        <v>38</v>
      </c>
      <c r="E22" s="1" t="s">
        <v>67</v>
      </c>
    </row>
    <row r="23" spans="1:5" ht="15" customHeight="1">
      <c r="A23" s="1" t="s">
        <v>68</v>
      </c>
      <c r="B23" s="2" t="s">
        <v>69</v>
      </c>
      <c r="C23" s="2">
        <v>0.9</v>
      </c>
      <c r="D23" s="2" t="s">
        <v>70</v>
      </c>
      <c r="E23" s="1" t="s">
        <v>71</v>
      </c>
    </row>
    <row r="24" spans="1:5" ht="15" customHeight="1">
      <c r="A24" s="75" t="s">
        <v>72</v>
      </c>
      <c r="B24" s="72" t="s">
        <v>73</v>
      </c>
      <c r="C24" s="76">
        <f ca="1">IF('Other Data'!C17="H",OFFSET(Results!I8,'Other Data'!C21,0),0.1)</f>
        <v>0.115</v>
      </c>
      <c r="D24" s="77" t="s">
        <v>15</v>
      </c>
      <c r="E24" s="75" t="str">
        <f>IF('Other Data'!C17="H","Presampling filter error for complex harmonic signal","Presampling filter error for DC or sinusoidal signal")</f>
        <v>Presampling filter error for complex harmonic signal</v>
      </c>
    </row>
    <row r="25" spans="1:5" ht="15" customHeight="1">
      <c r="A25" s="75" t="s">
        <v>74</v>
      </c>
      <c r="B25" s="69" t="s">
        <v>75</v>
      </c>
      <c r="C25" s="77">
        <f>IF('Other Data'!C17="S",IF(F21&gt;1,'Other Data'!C9*3,'Other Data'!C9*20),IF(F21=1,'Other Data'!C9*10,C9*3))</f>
        <v>3000</v>
      </c>
      <c r="D25" s="77" t="s">
        <v>26</v>
      </c>
      <c r="E25" s="75" t="s">
        <v>76</v>
      </c>
    </row>
    <row r="26" spans="1:5" s="13" customFormat="1" ht="15" customHeight="1">
      <c r="A26" s="68" t="s">
        <v>77</v>
      </c>
      <c r="B26" s="70" t="s">
        <v>78</v>
      </c>
      <c r="C26" s="78">
        <f>C19*('Amplifier Data'!C12/'Amplifier Data'!C13)*('Amplifier Data'!C26^2)</f>
        <v>12250000.000000002</v>
      </c>
      <c r="D26" s="70" t="s">
        <v>79</v>
      </c>
      <c r="E26" s="68" t="s">
        <v>80</v>
      </c>
    </row>
    <row r="27" spans="1:5" s="13" customFormat="1" ht="15" customHeight="1">
      <c r="A27" s="68" t="s">
        <v>81</v>
      </c>
      <c r="B27" s="72" t="s">
        <v>82</v>
      </c>
      <c r="C27" s="74">
        <f>100/SQRT(C26)</f>
        <v>0.028571428571428567</v>
      </c>
      <c r="D27" s="70" t="s">
        <v>15</v>
      </c>
      <c r="E27" s="68" t="s">
        <v>83</v>
      </c>
    </row>
    <row r="28" spans="1:5" s="13" customFormat="1" ht="15" customHeight="1">
      <c r="A28" s="68" t="s">
        <v>84</v>
      </c>
      <c r="B28" s="70" t="s">
        <v>85</v>
      </c>
      <c r="C28" s="78" t="str">
        <f>IF(OR(C21=0,C22="N",C13="n"),"-------",C26*(1+(C14/'Other Data'!C25)^(2*C21)))</f>
        <v>-------</v>
      </c>
      <c r="D28" s="70" t="s">
        <v>79</v>
      </c>
      <c r="E28" s="68" t="s">
        <v>86</v>
      </c>
    </row>
    <row r="29" spans="1:5" s="13" customFormat="1" ht="15" customHeight="1">
      <c r="A29" s="68" t="s">
        <v>87</v>
      </c>
      <c r="B29" s="72" t="s">
        <v>88</v>
      </c>
      <c r="C29" s="74" t="str">
        <f>IF(OR(C21=0,C22="N",C13="N"),"-------",100/SQRT(C28))</f>
        <v>-------</v>
      </c>
      <c r="D29" s="70" t="s">
        <v>15</v>
      </c>
      <c r="E29" s="68" t="s">
        <v>89</v>
      </c>
    </row>
    <row r="30" spans="1:5" s="13" customFormat="1" ht="15" customHeight="1">
      <c r="A30" s="68" t="s">
        <v>90</v>
      </c>
      <c r="B30" s="70" t="s">
        <v>91</v>
      </c>
      <c r="C30" s="79">
        <f>IF(AND(C15="Y",C22="Y"),C26*(IF(C26&gt;100,0.9,C23))*('Amplifier Data'!C14/'Other Data'!C25),"-------")</f>
        <v>551250000.0000001</v>
      </c>
      <c r="D30" s="70" t="s">
        <v>79</v>
      </c>
      <c r="E30" s="68" t="s">
        <v>92</v>
      </c>
    </row>
    <row r="31" spans="1:5" s="13" customFormat="1" ht="15" customHeight="1">
      <c r="A31" s="68" t="s">
        <v>93</v>
      </c>
      <c r="B31" s="72" t="s">
        <v>94</v>
      </c>
      <c r="C31" s="74">
        <f>IF(AND(C15="Y",C22="y"),SQRT(2)*100/SQRT(C30),"-------")</f>
        <v>0.0060233860193683415</v>
      </c>
      <c r="D31" s="70" t="s">
        <v>15</v>
      </c>
      <c r="E31" s="68" t="s">
        <v>95</v>
      </c>
    </row>
    <row r="32" spans="1:5" s="13" customFormat="1" ht="17.25" customHeight="1">
      <c r="A32" s="80" t="s">
        <v>96</v>
      </c>
      <c r="B32" s="72" t="s">
        <v>97</v>
      </c>
      <c r="C32" s="74">
        <f>IF(C22="N",C27,IF(AND(C13="Y",C15="Y"),SQRT(C31^2+C29^2),IF(C13="Y",C29,IF(C15="y",C31,C27))))</f>
        <v>0.0060233860193683415</v>
      </c>
      <c r="D32" s="70" t="s">
        <v>15</v>
      </c>
      <c r="E32" s="81" t="s">
        <v>98</v>
      </c>
    </row>
    <row r="33" spans="1:3" ht="15.75" customHeight="1">
      <c r="A33" s="1"/>
      <c r="B33" s="2"/>
      <c r="C33" s="16"/>
    </row>
    <row r="34" spans="1:3" ht="24.75" customHeight="1">
      <c r="A34" s="1"/>
      <c r="B34" s="2"/>
      <c r="C34" s="49" t="s">
        <v>99</v>
      </c>
    </row>
    <row r="35" spans="1:5" ht="15" customHeight="1">
      <c r="A35" s="1" t="s">
        <v>100</v>
      </c>
      <c r="B35" s="18" t="s">
        <v>101</v>
      </c>
      <c r="C35" s="2">
        <v>0.002</v>
      </c>
      <c r="D35" s="9" t="s">
        <v>102</v>
      </c>
      <c r="E35" s="1" t="s">
        <v>103</v>
      </c>
    </row>
    <row r="36" spans="1:5" ht="15" customHeight="1">
      <c r="A36" s="1" t="s">
        <v>104</v>
      </c>
      <c r="B36" s="18" t="s">
        <v>105</v>
      </c>
      <c r="C36" s="2">
        <v>31250</v>
      </c>
      <c r="D36" s="2" t="s">
        <v>26</v>
      </c>
      <c r="E36" s="1" t="s">
        <v>106</v>
      </c>
    </row>
    <row r="37" spans="1:5" ht="0.75" customHeight="1" hidden="1">
      <c r="A37" s="11"/>
      <c r="B37" s="20"/>
      <c r="C37" s="26"/>
      <c r="D37" s="12"/>
      <c r="E37" s="11"/>
    </row>
    <row r="38" spans="1:5" ht="15" customHeight="1">
      <c r="A38" s="1" t="s">
        <v>107</v>
      </c>
      <c r="B38" s="44" t="s">
        <v>108</v>
      </c>
      <c r="C38" s="2">
        <v>0</v>
      </c>
      <c r="D38" s="2" t="s">
        <v>109</v>
      </c>
      <c r="E38" s="1" t="s">
        <v>110</v>
      </c>
    </row>
    <row r="39" spans="1:5" ht="15" customHeight="1">
      <c r="A39" s="1" t="s">
        <v>111</v>
      </c>
      <c r="B39" s="2" t="s">
        <v>112</v>
      </c>
      <c r="C39" s="24">
        <v>0.000212</v>
      </c>
      <c r="D39" s="2" t="s">
        <v>109</v>
      </c>
      <c r="E39" s="1" t="s">
        <v>113</v>
      </c>
    </row>
    <row r="40" spans="1:5" ht="15" customHeight="1">
      <c r="A40" s="1" t="s">
        <v>114</v>
      </c>
      <c r="B40" s="18" t="s">
        <v>115</v>
      </c>
      <c r="C40" s="2">
        <v>0</v>
      </c>
      <c r="D40" s="2" t="s">
        <v>26</v>
      </c>
      <c r="E40" s="1" t="s">
        <v>116</v>
      </c>
    </row>
    <row r="41" spans="1:5" s="13" customFormat="1" ht="15" customHeight="1">
      <c r="A41" s="68" t="s">
        <v>117</v>
      </c>
      <c r="B41" s="69" t="s">
        <v>118</v>
      </c>
      <c r="C41" s="70">
        <f>IF(MOD(C40,C36)&lt;(C36/2),MOD(C40,C36),C36-MOD(C40,C36))</f>
        <v>0</v>
      </c>
      <c r="D41" s="70" t="s">
        <v>26</v>
      </c>
      <c r="E41" s="68" t="s">
        <v>119</v>
      </c>
    </row>
    <row r="42" spans="1:5" s="13" customFormat="1" ht="15" customHeight="1">
      <c r="A42" s="68" t="s">
        <v>120</v>
      </c>
      <c r="B42" s="72" t="s">
        <v>121</v>
      </c>
      <c r="C42" s="71">
        <f>0.5*(1-(SIN(PI()*C9*C35*0.000001)/(PI()*C9*C35*0.000001)))*100</f>
        <v>3.289868377720495E-10</v>
      </c>
      <c r="D42" s="70" t="s">
        <v>15</v>
      </c>
      <c r="E42" s="68" t="s">
        <v>122</v>
      </c>
    </row>
    <row r="43" spans="1:5" s="13" customFormat="1" ht="15" customHeight="1">
      <c r="A43" s="68" t="s">
        <v>123</v>
      </c>
      <c r="B43" s="72" t="s">
        <v>124</v>
      </c>
      <c r="C43" s="73">
        <f>((SQRT(2)*PI()*C9*C7*C100)/(C8*C36*SQRT(5)))*100*IF(C17="h",0.1,1)</f>
        <v>0.6358136490109505</v>
      </c>
      <c r="D43" s="70" t="s">
        <v>15</v>
      </c>
      <c r="E43" s="68" t="s">
        <v>125</v>
      </c>
    </row>
    <row r="44" spans="1:5" s="13" customFormat="1" ht="15" customHeight="1">
      <c r="A44" s="68" t="s">
        <v>126</v>
      </c>
      <c r="B44" s="72" t="s">
        <v>127</v>
      </c>
      <c r="C44" s="73">
        <f>0.5*(1-SIN((PI()*C9)/C36)/((PI()*C9)/C36))*100</f>
        <v>0.08417807578083303</v>
      </c>
      <c r="D44" s="70" t="s">
        <v>15</v>
      </c>
      <c r="E44" s="68" t="s">
        <v>128</v>
      </c>
    </row>
    <row r="45" spans="1:5" s="13" customFormat="1" ht="15" customHeight="1">
      <c r="A45" s="68" t="s">
        <v>129</v>
      </c>
      <c r="B45" s="72" t="s">
        <v>130</v>
      </c>
      <c r="C45" s="78">
        <f>C38/C8*100/SQRT(1+((C40/'Other Data'!C25)^(2*'Other Data'!C21)))*IF(C41=0,1,(SIN(PI()*'Other Data'!C41/'Other Data'!C36)/(PI()*'Other Data'!C41/'Other Data'!C36)))</f>
        <v>0</v>
      </c>
      <c r="D45" s="70" t="s">
        <v>15</v>
      </c>
      <c r="E45" s="68" t="s">
        <v>131</v>
      </c>
    </row>
    <row r="46" spans="1:5" s="13" customFormat="1" ht="15" customHeight="1">
      <c r="A46" s="68" t="s">
        <v>132</v>
      </c>
      <c r="B46" s="72" t="s">
        <v>133</v>
      </c>
      <c r="C46" s="78">
        <f>SQRT(2)*100/SQRT(1/((2*((C39/C8)^2))/((1+((C36/'Other Data'!C25)^(2*'Other Data'!C21))))))</f>
        <v>7.502558343657585E-06</v>
      </c>
      <c r="D46" s="70" t="s">
        <v>15</v>
      </c>
      <c r="E46" s="68" t="s">
        <v>134</v>
      </c>
    </row>
    <row r="47" spans="1:5" s="13" customFormat="1" ht="15" customHeight="1">
      <c r="A47" s="68" t="s">
        <v>135</v>
      </c>
      <c r="B47" s="72" t="s">
        <v>136</v>
      </c>
      <c r="C47" s="78">
        <f>SQRT(C45^2+C46^2)</f>
        <v>7.502558343657585E-06</v>
      </c>
      <c r="D47" s="70" t="s">
        <v>15</v>
      </c>
      <c r="E47" s="68" t="s">
        <v>137</v>
      </c>
    </row>
    <row r="48" spans="1:5" s="13" customFormat="1" ht="15" customHeight="1">
      <c r="A48"/>
      <c r="B48"/>
      <c r="C48"/>
      <c r="D48" s="12"/>
      <c r="E48" s="11"/>
    </row>
    <row r="49" spans="1:3" ht="15" customHeight="1">
      <c r="A49" s="1"/>
      <c r="B49" s="2"/>
      <c r="C49" s="16" t="s">
        <v>138</v>
      </c>
    </row>
    <row r="50" spans="1:2" ht="15" customHeight="1">
      <c r="A50" s="1"/>
      <c r="B50" s="2"/>
    </row>
    <row r="51" spans="1:5" ht="15" customHeight="1">
      <c r="A51" s="1" t="s">
        <v>139</v>
      </c>
      <c r="B51" s="17" t="s">
        <v>140</v>
      </c>
      <c r="C51" s="2">
        <v>0.003</v>
      </c>
      <c r="D51" s="2" t="s">
        <v>15</v>
      </c>
      <c r="E51" s="1" t="s">
        <v>141</v>
      </c>
    </row>
    <row r="52" spans="1:5" ht="15" customHeight="1">
      <c r="A52" s="1" t="s">
        <v>142</v>
      </c>
      <c r="B52" s="17" t="s">
        <v>143</v>
      </c>
      <c r="C52" s="2">
        <v>5E-05</v>
      </c>
      <c r="D52" s="2" t="s">
        <v>15</v>
      </c>
      <c r="E52" s="1" t="s">
        <v>144</v>
      </c>
    </row>
    <row r="53" spans="1:5" ht="15" customHeight="1">
      <c r="A53" s="1" t="s">
        <v>145</v>
      </c>
      <c r="B53" s="17" t="s">
        <v>146</v>
      </c>
      <c r="C53" s="2">
        <v>0.001</v>
      </c>
      <c r="D53" s="2" t="s">
        <v>15</v>
      </c>
      <c r="E53" s="1" t="s">
        <v>147</v>
      </c>
    </row>
    <row r="54" spans="1:5" s="30" customFormat="1" ht="15" customHeight="1">
      <c r="A54" s="75" t="s">
        <v>148</v>
      </c>
      <c r="B54" s="72" t="s">
        <v>149</v>
      </c>
      <c r="C54" s="82">
        <f>C51+SQRT(C52^2+C53^2)</f>
        <v>0.0040012492197250395</v>
      </c>
      <c r="D54" s="77" t="s">
        <v>15</v>
      </c>
      <c r="E54" s="83"/>
    </row>
    <row r="55" spans="1:2" ht="15" customHeight="1">
      <c r="A55" s="1"/>
      <c r="B55" s="2"/>
    </row>
    <row r="56" spans="1:3" ht="15" customHeight="1">
      <c r="A56" s="1"/>
      <c r="B56" s="2"/>
      <c r="C56" s="16" t="s">
        <v>150</v>
      </c>
    </row>
    <row r="57" spans="1:2" ht="15" customHeight="1">
      <c r="A57" s="1"/>
      <c r="B57" s="2"/>
    </row>
    <row r="58" spans="1:5" ht="15" customHeight="1">
      <c r="A58" s="1" t="s">
        <v>151</v>
      </c>
      <c r="B58" s="17" t="s">
        <v>152</v>
      </c>
      <c r="C58" s="2">
        <v>0.00076</v>
      </c>
      <c r="D58" s="2" t="s">
        <v>15</v>
      </c>
      <c r="E58" s="1" t="s">
        <v>153</v>
      </c>
    </row>
    <row r="59" spans="1:5" ht="15" customHeight="1">
      <c r="A59" s="1" t="s">
        <v>154</v>
      </c>
      <c r="B59" s="17" t="s">
        <v>155</v>
      </c>
      <c r="C59" s="2">
        <v>0.0004</v>
      </c>
      <c r="D59" s="2" t="s">
        <v>15</v>
      </c>
      <c r="E59" s="1" t="s">
        <v>156</v>
      </c>
    </row>
    <row r="60" spans="1:5" ht="15" customHeight="1">
      <c r="A60" s="1" t="s">
        <v>157</v>
      </c>
      <c r="B60" s="17" t="s">
        <v>158</v>
      </c>
      <c r="C60" s="2">
        <v>0.02</v>
      </c>
      <c r="D60" s="2" t="s">
        <v>15</v>
      </c>
      <c r="E60" s="1" t="s">
        <v>159</v>
      </c>
    </row>
    <row r="61" spans="1:5" ht="15" customHeight="1">
      <c r="A61" s="1" t="s">
        <v>160</v>
      </c>
      <c r="B61" s="17" t="s">
        <v>161</v>
      </c>
      <c r="C61" s="2">
        <v>0.005</v>
      </c>
      <c r="D61" s="2" t="s">
        <v>15</v>
      </c>
      <c r="E61" s="1" t="s">
        <v>162</v>
      </c>
    </row>
    <row r="62" spans="1:5" ht="15" customHeight="1" hidden="1">
      <c r="A62" s="1" t="s">
        <v>163</v>
      </c>
      <c r="B62" s="17" t="s">
        <v>164</v>
      </c>
      <c r="C62" s="2">
        <v>0.005</v>
      </c>
      <c r="D62" s="2" t="s">
        <v>15</v>
      </c>
      <c r="E62" s="1" t="s">
        <v>165</v>
      </c>
    </row>
    <row r="63" spans="1:5" ht="15" customHeight="1" hidden="1">
      <c r="A63" s="1" t="s">
        <v>166</v>
      </c>
      <c r="B63" s="17" t="s">
        <v>167</v>
      </c>
      <c r="C63" s="2">
        <v>0.001</v>
      </c>
      <c r="D63" s="2" t="s">
        <v>15</v>
      </c>
      <c r="E63" s="1" t="s">
        <v>168</v>
      </c>
    </row>
    <row r="64" spans="1:5" s="30" customFormat="1" ht="15" customHeight="1">
      <c r="A64" s="75" t="s">
        <v>169</v>
      </c>
      <c r="B64" s="72" t="s">
        <v>170</v>
      </c>
      <c r="C64" s="82">
        <f>SQRT(C58^2+C59^2+C60^2+C61^2)</f>
        <v>0.02063340980061221</v>
      </c>
      <c r="D64" s="77" t="s">
        <v>15</v>
      </c>
      <c r="E64" s="75" t="s">
        <v>171</v>
      </c>
    </row>
    <row r="65" spans="1:2" ht="15" customHeight="1">
      <c r="A65" s="1"/>
      <c r="B65" s="2"/>
    </row>
    <row r="66" spans="1:3" ht="15" customHeight="1">
      <c r="A66" s="1"/>
      <c r="B66" s="2"/>
      <c r="C66" s="16" t="s">
        <v>172</v>
      </c>
    </row>
    <row r="67" spans="1:5" ht="15" customHeight="1">
      <c r="A67" s="1" t="s">
        <v>173</v>
      </c>
      <c r="B67" s="2" t="s">
        <v>174</v>
      </c>
      <c r="C67" s="2">
        <v>16</v>
      </c>
      <c r="D67" s="2" t="s">
        <v>175</v>
      </c>
      <c r="E67" s="1" t="s">
        <v>176</v>
      </c>
    </row>
    <row r="68" spans="1:5" ht="15" customHeight="1">
      <c r="A68" s="68" t="s">
        <v>177</v>
      </c>
      <c r="B68" s="72" t="s">
        <v>178</v>
      </c>
      <c r="C68" s="73">
        <f>1/2^C67/2*100</f>
        <v>0.000762939453125</v>
      </c>
      <c r="D68" s="70" t="s">
        <v>15</v>
      </c>
      <c r="E68" s="68" t="s">
        <v>179</v>
      </c>
    </row>
    <row r="69" spans="1:5" ht="15" customHeight="1">
      <c r="A69" s="1" t="s">
        <v>180</v>
      </c>
      <c r="B69" s="17" t="s">
        <v>181</v>
      </c>
      <c r="C69" s="2">
        <v>0.0011</v>
      </c>
      <c r="D69" s="2" t="s">
        <v>15</v>
      </c>
      <c r="E69" s="1" t="s">
        <v>182</v>
      </c>
    </row>
    <row r="70" spans="1:5" ht="15" customHeight="1">
      <c r="A70" s="1" t="s">
        <v>183</v>
      </c>
      <c r="B70" s="17" t="s">
        <v>184</v>
      </c>
      <c r="C70" s="2">
        <v>0.0001</v>
      </c>
      <c r="D70" s="2" t="s">
        <v>15</v>
      </c>
      <c r="E70" s="1" t="s">
        <v>185</v>
      </c>
    </row>
    <row r="71" spans="1:5" ht="15" customHeight="1" hidden="1">
      <c r="A71" s="1" t="s">
        <v>186</v>
      </c>
      <c r="B71" s="17" t="s">
        <v>155</v>
      </c>
      <c r="C71" s="2">
        <v>2</v>
      </c>
      <c r="D71" s="2" t="s">
        <v>15</v>
      </c>
      <c r="E71" s="1" t="s">
        <v>187</v>
      </c>
    </row>
    <row r="72" spans="1:5" ht="15" customHeight="1">
      <c r="A72" s="1" t="s">
        <v>160</v>
      </c>
      <c r="B72" s="17" t="s">
        <v>161</v>
      </c>
      <c r="C72" s="2">
        <v>0.0011</v>
      </c>
      <c r="D72" s="2" t="s">
        <v>15</v>
      </c>
      <c r="E72" s="1" t="s">
        <v>162</v>
      </c>
    </row>
    <row r="73" spans="1:5" ht="15" customHeight="1" hidden="1">
      <c r="A73" s="1" t="s">
        <v>188</v>
      </c>
      <c r="B73" s="17" t="s">
        <v>189</v>
      </c>
      <c r="C73" s="2">
        <v>0.05</v>
      </c>
      <c r="D73" s="2" t="s">
        <v>15</v>
      </c>
      <c r="E73" s="1" t="s">
        <v>190</v>
      </c>
    </row>
    <row r="74" spans="1:5" s="30" customFormat="1" ht="15" customHeight="1">
      <c r="A74" s="75" t="s">
        <v>191</v>
      </c>
      <c r="B74" s="72" t="s">
        <v>192</v>
      </c>
      <c r="C74" s="82">
        <f>C69+SQRT((100*(2^(-(C67+1))))^2+C70^2+C72^2)</f>
        <v>0.002442414469951317</v>
      </c>
      <c r="D74" s="77" t="s">
        <v>15</v>
      </c>
      <c r="E74" s="83" t="s">
        <v>193</v>
      </c>
    </row>
    <row r="75" spans="1:2" ht="15" customHeight="1">
      <c r="A75" s="1"/>
      <c r="B75" s="2"/>
    </row>
    <row r="76" spans="1:3" ht="15" customHeight="1">
      <c r="A76" s="1"/>
      <c r="B76" s="2"/>
      <c r="C76" s="16" t="s">
        <v>194</v>
      </c>
    </row>
    <row r="77" spans="1:2" ht="15" customHeight="1">
      <c r="A77" s="1"/>
      <c r="B77" s="2"/>
    </row>
    <row r="78" spans="1:5" s="13" customFormat="1" ht="15" customHeight="1">
      <c r="A78" s="1" t="s">
        <v>195</v>
      </c>
      <c r="B78" s="2" t="s">
        <v>196</v>
      </c>
      <c r="C78" s="2">
        <v>16</v>
      </c>
      <c r="D78" s="2" t="s">
        <v>175</v>
      </c>
      <c r="E78" s="1" t="s">
        <v>176</v>
      </c>
    </row>
    <row r="79" spans="1:5" ht="15" customHeight="1">
      <c r="A79" s="1" t="s">
        <v>180</v>
      </c>
      <c r="B79" s="17" t="s">
        <v>181</v>
      </c>
      <c r="C79" s="2">
        <v>0.003</v>
      </c>
      <c r="D79" s="2" t="s">
        <v>15</v>
      </c>
      <c r="E79" s="1" t="s">
        <v>182</v>
      </c>
    </row>
    <row r="80" spans="1:5" ht="15" customHeight="1">
      <c r="A80" s="1" t="s">
        <v>160</v>
      </c>
      <c r="B80" s="17" t="s">
        <v>161</v>
      </c>
      <c r="C80" s="2">
        <v>0.01</v>
      </c>
      <c r="D80" s="2" t="s">
        <v>15</v>
      </c>
      <c r="E80" s="1" t="s">
        <v>162</v>
      </c>
    </row>
    <row r="81" spans="1:5" ht="15" customHeight="1" hidden="1">
      <c r="A81" s="1" t="s">
        <v>186</v>
      </c>
      <c r="B81" s="17" t="s">
        <v>155</v>
      </c>
      <c r="C81" s="2">
        <v>20</v>
      </c>
      <c r="D81" s="2" t="s">
        <v>15</v>
      </c>
      <c r="E81" s="1" t="s">
        <v>187</v>
      </c>
    </row>
    <row r="82" spans="1:5" ht="15" customHeight="1">
      <c r="A82" s="1" t="s">
        <v>183</v>
      </c>
      <c r="B82" s="17" t="s">
        <v>184</v>
      </c>
      <c r="C82" s="2">
        <v>0.0008</v>
      </c>
      <c r="D82" s="2" t="s">
        <v>15</v>
      </c>
      <c r="E82" s="1" t="s">
        <v>185</v>
      </c>
    </row>
    <row r="83" spans="1:5" s="30" customFormat="1" ht="15" customHeight="1">
      <c r="A83" s="75" t="s">
        <v>197</v>
      </c>
      <c r="B83" s="72" t="s">
        <v>198</v>
      </c>
      <c r="C83" s="82">
        <f>C79+SQRT(C80^2+C82^2)</f>
        <v>0.013031948963187562</v>
      </c>
      <c r="D83" s="77" t="s">
        <v>15</v>
      </c>
      <c r="E83" s="83" t="s">
        <v>193</v>
      </c>
    </row>
    <row r="84" spans="1:5" s="30" customFormat="1" ht="15" customHeight="1">
      <c r="A84" s="22"/>
      <c r="B84" s="25"/>
      <c r="C84" s="23"/>
      <c r="D84" s="23"/>
      <c r="E84" s="22"/>
    </row>
    <row r="85" spans="1:3" ht="15" customHeight="1">
      <c r="A85" s="1"/>
      <c r="B85" s="2"/>
      <c r="C85" s="16" t="s">
        <v>199</v>
      </c>
    </row>
    <row r="87" spans="1:6" ht="15" customHeight="1">
      <c r="A87" s="1" t="s">
        <v>200</v>
      </c>
      <c r="B87" s="2" t="s">
        <v>201</v>
      </c>
      <c r="C87" s="2" t="s">
        <v>202</v>
      </c>
      <c r="D87" s="2" t="s">
        <v>203</v>
      </c>
      <c r="E87" s="1" t="s">
        <v>204</v>
      </c>
      <c r="F87" t="s">
        <v>47</v>
      </c>
    </row>
    <row r="88" spans="1:18" ht="15" customHeight="1">
      <c r="A88" s="68" t="s">
        <v>205</v>
      </c>
      <c r="B88" s="70" t="s">
        <v>37</v>
      </c>
      <c r="C88" s="70">
        <f>IF(C87="R",1,IF(C87="D",0,3))</f>
        <v>3</v>
      </c>
      <c r="D88" s="70" t="s">
        <v>65</v>
      </c>
      <c r="E88" s="68" t="s">
        <v>206</v>
      </c>
      <c r="F88" s="5">
        <f>C88</f>
        <v>3</v>
      </c>
      <c r="G88" s="1" t="s">
        <v>207</v>
      </c>
      <c r="H88" s="1">
        <f aca="true" t="shared" si="0" ref="H88:R88">$C$7*$C$100*IF($C$17="h",IF(H91/$C$9&gt;0.1,$C$9/H91*0.1,1),1)</f>
        <v>0.5</v>
      </c>
      <c r="I88" s="1">
        <f t="shared" si="0"/>
        <v>0.7924465962305569</v>
      </c>
      <c r="J88" s="1">
        <f t="shared" si="0"/>
        <v>1.25594321575479</v>
      </c>
      <c r="K88" s="1">
        <f t="shared" si="0"/>
        <v>1.9905358527674866</v>
      </c>
      <c r="L88" s="1">
        <f t="shared" si="0"/>
        <v>3.154786722400967</v>
      </c>
      <c r="M88" s="1">
        <f t="shared" si="0"/>
        <v>5</v>
      </c>
      <c r="N88" s="1">
        <f t="shared" si="0"/>
        <v>5</v>
      </c>
      <c r="O88" s="1">
        <f t="shared" si="0"/>
        <v>5</v>
      </c>
      <c r="P88" s="1">
        <f t="shared" si="0"/>
        <v>5</v>
      </c>
      <c r="Q88" s="1">
        <f t="shared" si="0"/>
        <v>5</v>
      </c>
      <c r="R88" s="1">
        <f t="shared" si="0"/>
        <v>5</v>
      </c>
    </row>
    <row r="89" spans="1:8" s="30" customFormat="1" ht="15" customHeight="1">
      <c r="A89" s="75" t="s">
        <v>208</v>
      </c>
      <c r="B89" s="72" t="s">
        <v>209</v>
      </c>
      <c r="C89" s="84">
        <f>100/SQRT(('Other Data'!C8^2)/IF('Other Data'!C87="D",'Other Data'!H94,'Other Data'!H97))</f>
        <v>0.0004070806477298178</v>
      </c>
      <c r="D89" s="77" t="s">
        <v>15</v>
      </c>
      <c r="E89" s="75" t="s">
        <v>210</v>
      </c>
      <c r="F89" s="1" t="s">
        <v>211</v>
      </c>
      <c r="G89" s="2"/>
      <c r="H89" s="2"/>
    </row>
    <row r="90" spans="1:8" s="30" customFormat="1" ht="15" customHeight="1">
      <c r="A90" s="75" t="s">
        <v>212</v>
      </c>
      <c r="B90" s="72" t="s">
        <v>213</v>
      </c>
      <c r="C90" s="84">
        <f ca="1">IF(C87="d",0,IF(C87="r",IF(C17="h",1.201,0.3),IF(C17="h",OFFSET(Results!I8,'Other Data'!C88,0),0.1)))</f>
        <v>0.115</v>
      </c>
      <c r="D90" s="77" t="s">
        <v>15</v>
      </c>
      <c r="E90" s="75" t="s">
        <v>214</v>
      </c>
      <c r="F90"/>
      <c r="G90" s="2"/>
      <c r="H90" s="2"/>
    </row>
    <row r="91" spans="1:18" s="30" customFormat="1" ht="15" customHeight="1">
      <c r="A91" s="75" t="s">
        <v>215</v>
      </c>
      <c r="B91" s="72" t="s">
        <v>216</v>
      </c>
      <c r="C91" s="84">
        <f>C90+SQRT(C89^2+C83^2)</f>
        <v>0.12803830542796424</v>
      </c>
      <c r="D91" s="77" t="s">
        <v>15</v>
      </c>
      <c r="E91" s="83" t="s">
        <v>217</v>
      </c>
      <c r="F91" t="s">
        <v>218</v>
      </c>
      <c r="G91" s="2" t="s">
        <v>219</v>
      </c>
      <c r="H91" s="2">
        <f>C9</f>
        <v>1000</v>
      </c>
      <c r="I91" s="33">
        <f>$H$91*10^(-1/5)</f>
        <v>630.9573444801932</v>
      </c>
      <c r="J91" s="33">
        <f>$H$91*10^(-2/5)</f>
        <v>398.1071705534972</v>
      </c>
      <c r="K91" s="33">
        <f>$H$91*10^(-3/5)</f>
        <v>251.188643150958</v>
      </c>
      <c r="L91" s="33">
        <f>$H$91*10^(-4/5)</f>
        <v>158.4893192461113</v>
      </c>
      <c r="M91" s="33">
        <f>$H$91*10^(-5/5)</f>
        <v>100</v>
      </c>
      <c r="N91" s="33">
        <f>$H$91*10^(-6/5)</f>
        <v>63.095734448019314</v>
      </c>
      <c r="O91" s="33">
        <f>$H$91*10^(-7/5)</f>
        <v>39.81071705534973</v>
      </c>
      <c r="P91" s="33">
        <f>$H$91*10^(-8/5)</f>
        <v>25.11886431509578</v>
      </c>
      <c r="Q91" s="33">
        <f>$H$91*10^(-9/5)</f>
        <v>15.848931924611124</v>
      </c>
      <c r="R91" s="33">
        <f>$H$91*10^(-10/5)</f>
        <v>10</v>
      </c>
    </row>
    <row r="92" spans="1:18" ht="15" customHeight="1">
      <c r="A92" s="75" t="s">
        <v>220</v>
      </c>
      <c r="B92" s="69" t="s">
        <v>221</v>
      </c>
      <c r="C92" s="77">
        <f>IF(C88=1,10*C9,IF(C88=3,3*C9,"N/A"))</f>
        <v>3000</v>
      </c>
      <c r="D92" s="77" t="s">
        <v>26</v>
      </c>
      <c r="E92" s="75" t="s">
        <v>222</v>
      </c>
      <c r="F92" s="1" t="s">
        <v>223</v>
      </c>
      <c r="G92" s="2"/>
      <c r="H92" s="32">
        <f>SIN(PI()*(1-H91/$C$36))/(PI()*(1-H91/$C$36))</f>
        <v>0.033002196313533363</v>
      </c>
      <c r="I92" s="32">
        <f aca="true" t="shared" si="1" ref="I92:R92">SIN(PI()*(1-I91/$C$36))/(PI()*(1-I91/$C$36))</f>
        <v>0.02059288173692313</v>
      </c>
      <c r="J92" s="32">
        <f t="shared" si="1"/>
        <v>0.012900372175616409</v>
      </c>
      <c r="K92" s="32">
        <f t="shared" si="1"/>
        <v>0.008102308987658282</v>
      </c>
      <c r="L92" s="32">
        <f t="shared" si="1"/>
        <v>0.0050972953740214925</v>
      </c>
      <c r="M92" s="32">
        <f t="shared" si="1"/>
        <v>0.0032102187992304474</v>
      </c>
      <c r="N92" s="32">
        <f t="shared" si="1"/>
        <v>0.0020231348006309225</v>
      </c>
      <c r="O92" s="32">
        <f t="shared" si="1"/>
        <v>0.0012755645412874496</v>
      </c>
      <c r="P92" s="32">
        <f t="shared" si="1"/>
        <v>0.0008044494231960739</v>
      </c>
      <c r="Q92" s="32">
        <f t="shared" si="1"/>
        <v>0.0005074229545828472</v>
      </c>
      <c r="R92" s="32">
        <f t="shared" si="1"/>
        <v>0.0003201023788600632</v>
      </c>
    </row>
    <row r="93" spans="2:18" ht="15" customHeight="1">
      <c r="B93"/>
      <c r="C93"/>
      <c r="D93"/>
      <c r="F93" s="1" t="s">
        <v>224</v>
      </c>
      <c r="G93" s="2"/>
      <c r="H93" s="32">
        <f>SIN(PI()*(1+H91/$C$36))/(PI()*(1+H91/$C$36))</f>
        <v>-0.030955548480135868</v>
      </c>
      <c r="I93" s="32">
        <f aca="true" t="shared" si="2" ref="I93:R93">SIN(PI()*(1+I91/$C$36))/(PI()*(1+I91/$C$36))</f>
        <v>-0.01977777258975869</v>
      </c>
      <c r="J93" s="32">
        <f t="shared" si="2"/>
        <v>-0.012575820022260369</v>
      </c>
      <c r="K93" s="32">
        <f t="shared" si="2"/>
        <v>-0.007973094307916628</v>
      </c>
      <c r="L93" s="32">
        <f t="shared" si="2"/>
        <v>-0.005045852793283997</v>
      </c>
      <c r="M93" s="32">
        <f t="shared" si="2"/>
        <v>-0.0031897389344826286</v>
      </c>
      <c r="N93" s="32">
        <f t="shared" si="2"/>
        <v>-0.0020149815872141006</v>
      </c>
      <c r="O93" s="32">
        <f t="shared" si="2"/>
        <v>-0.0012723186834264575</v>
      </c>
      <c r="P93" s="32">
        <f t="shared" si="2"/>
        <v>-0.0008031572230929501</v>
      </c>
      <c r="Q93" s="32">
        <f t="shared" si="2"/>
        <v>-0.0005069085203269345</v>
      </c>
      <c r="R93" s="32">
        <f t="shared" si="2"/>
        <v>-0.0003198975788736517</v>
      </c>
    </row>
    <row r="94" spans="2:18" ht="15" customHeight="1">
      <c r="B94"/>
      <c r="C94"/>
      <c r="D94"/>
      <c r="F94" s="1" t="s">
        <v>225</v>
      </c>
      <c r="G94" s="2"/>
      <c r="H94" s="2">
        <f>1.644*H88^2*(H92^2+H93^2)</f>
        <v>0.0008414776776646682</v>
      </c>
      <c r="I94" s="2">
        <f aca="true" t="shared" si="3" ref="I94:R94">1.644*I88^2*(I92^2+I93^2)</f>
        <v>0.0008416284590068554</v>
      </c>
      <c r="J94" s="2">
        <f t="shared" si="3"/>
        <v>0.0008416883901182691</v>
      </c>
      <c r="K94" s="2">
        <f t="shared" si="3"/>
        <v>0.0008417122338918124</v>
      </c>
      <c r="L94" s="2">
        <f t="shared" si="3"/>
        <v>0.0008417217238541838</v>
      </c>
      <c r="M94" s="2">
        <f t="shared" si="3"/>
        <v>0.0008417255014934735</v>
      </c>
      <c r="N94" s="2">
        <f t="shared" si="3"/>
        <v>0.00033509755647360046</v>
      </c>
      <c r="O94" s="2">
        <f t="shared" si="3"/>
        <v>0.00013340483495174031</v>
      </c>
      <c r="P94" s="2">
        <f t="shared" si="3"/>
        <v>5.3109436418910554E-05</v>
      </c>
      <c r="Q94" s="2">
        <f t="shared" si="3"/>
        <v>2.1143249845804524E-05</v>
      </c>
      <c r="R94" s="2">
        <f t="shared" si="3"/>
        <v>8.41727975015703E-06</v>
      </c>
    </row>
    <row r="95" spans="2:18" ht="15" customHeight="1">
      <c r="B95"/>
      <c r="C95"/>
      <c r="D95"/>
      <c r="F95" s="1" t="s">
        <v>226</v>
      </c>
      <c r="G95" s="2"/>
      <c r="H95" s="2">
        <f>IF($C$87="R",(1+(($C$36-H91)/'Other Data'!$C$92)^2),(1+(($C$36-H91)/'Other Data'!$C$92)^(2*$F$88)))</f>
        <v>1051054.3133201657</v>
      </c>
      <c r="I95" s="2">
        <f>IF($C$87="R",(1+(($C$36-I91)/'Other Data'!$C$92)^2),(1+(($C$36-I91)/'Other Data'!$C$92)^(2*$F$88)))</f>
        <v>1130374.8926833267</v>
      </c>
      <c r="J95" s="2">
        <f>IF($C$87="R",(1+(($C$36-J91)/'Other Data'!$C$92)^2),(1+(($C$36-J91)/'Other Data'!$C$92)^(2*$F$88)))</f>
        <v>1182942.7401429096</v>
      </c>
      <c r="K95" s="2">
        <f>IF($C$87="R",(1+(($C$36-K91)/'Other Data'!$C$92)^2),(1+(($C$36-K91)/'Other Data'!$C$92)^(2*$F$88)))</f>
        <v>1217147.1200353052</v>
      </c>
      <c r="L95" s="2">
        <f>IF($C$87="R",(1+(($C$36-L91)/'Other Data'!$C$92)^2),(1+(($C$36-L91)/'Other Data'!$C$92)^(2*$F$88)))</f>
        <v>1239149.6742101412</v>
      </c>
      <c r="M95" s="2">
        <f>IF($C$87="R",(1+(($C$36-M91)/'Other Data'!$C$92)^2),(1+(($C$36-M91)/'Other Data'!$C$92)^(2*$F$88)))</f>
        <v>1253202.129549697</v>
      </c>
      <c r="N95" s="2">
        <f>IF($C$87="R",(1+(($C$36-N91)/'Other Data'!$C$92)^2),(1+(($C$36-N91)/'Other Data'!$C$92)^(2*$F$88)))</f>
        <v>1262136.7677719926</v>
      </c>
      <c r="O95" s="2">
        <f>IF($C$87="R",(1+(($C$36-O91)/'Other Data'!$C$92)^2),(1+(($C$36-O91)/'Other Data'!$C$92)^(2*$F$88)))</f>
        <v>1267801.4077855155</v>
      </c>
      <c r="P95" s="2">
        <f>IF($C$87="R",(1+(($C$36-P91)/'Other Data'!$C$92)^2),(1+(($C$36-P91)/'Other Data'!$C$92)^(2*$F$88)))</f>
        <v>1271386.4429507724</v>
      </c>
      <c r="Q95" s="2">
        <f>IF($C$87="R",(1+(($C$36-Q91)/'Other Data'!$C$92)^2),(1+(($C$36-Q91)/'Other Data'!$C$92)^(2*$F$88)))</f>
        <v>1273652.790941845</v>
      </c>
      <c r="R95" s="2">
        <f>IF($C$87="R",(1+(($C$36-R91)/'Other Data'!$C$92)^2),(1+(($C$36-R91)/'Other Data'!$C$92)^(2*$F$88)))</f>
        <v>1275084.4913216552</v>
      </c>
    </row>
    <row r="96" spans="2:18" ht="15" customHeight="1">
      <c r="B96"/>
      <c r="C96"/>
      <c r="D96"/>
      <c r="F96" s="1" t="s">
        <v>227</v>
      </c>
      <c r="G96" s="2"/>
      <c r="H96" s="2">
        <f>IF($C$87="R",(1+(($C$36+H91)/'Other Data'!$C$92)^2),(1+(($C$36+H91)/'Other Data'!$C$92)^(2*$F$88)))</f>
        <v>1543302.5256347656</v>
      </c>
      <c r="I96" s="2">
        <f>IF($C$87="R",(1+(($C$36+I91)/'Other Data'!$C$92)^2),(1+(($C$36+I91)/'Other Data'!$C$92)^(2*$F$88)))</f>
        <v>1440326.3255758556</v>
      </c>
      <c r="J96" s="2">
        <f>IF($C$87="R",(1+(($C$36+J91)/'Other Data'!$C$92)^2),(1+(($C$36+J91)/'Other Data'!$C$92)^(2*$F$88)))</f>
        <v>1378349.1102533033</v>
      </c>
      <c r="K96" s="2">
        <f>IF($C$87="R",(1+(($C$36+K91)/'Other Data'!$C$92)^2),(1+(($C$36+K91)/'Other Data'!$C$92)^(2*$F$88)))</f>
        <v>1340400.077916622</v>
      </c>
      <c r="L96" s="2">
        <f>IF($C$87="R",(1+(($C$36+L91)/'Other Data'!$C$92)^2),(1+(($C$36+L91)/'Other Data'!$C$92)^(2*$F$88)))</f>
        <v>1316906.9543066006</v>
      </c>
      <c r="M96" s="2">
        <f>IF($C$87="R",(1+(($C$36+M91)/'Other Data'!$C$92)^2),(1+(($C$36+M91)/'Other Data'!$C$92)^(2*$F$88)))</f>
        <v>1302261.124847515</v>
      </c>
      <c r="N96" s="2">
        <f>IF($C$87="R",(1+(($C$36+N91)/'Other Data'!$C$92)^2),(1+(($C$36+N91)/'Other Data'!$C$92)^(2*$F$88)))</f>
        <v>1293090.2652463901</v>
      </c>
      <c r="O96" s="2">
        <f>IF($C$87="R",(1+(($C$36+O91)/'Other Data'!$C$92)^2),(1+(($C$36+O91)/'Other Data'!$C$92)^(2*$F$88)))</f>
        <v>1287331.5846184685</v>
      </c>
      <c r="P96" s="2">
        <f>IF($C$87="R",(1+(($C$36+P91)/'Other Data'!$C$92)^2),(1+(($C$36+P91)/'Other Data'!$C$92)^(2*$F$88)))</f>
        <v>1283709.111338728</v>
      </c>
      <c r="Q96" s="2">
        <f>IF($C$87="R",(1+(($C$36+Q91)/'Other Data'!$C$92)^2),(1+(($C$36+Q91)/'Other Data'!$C$92)^(2*$F$88)))</f>
        <v>1281427.8589861817</v>
      </c>
      <c r="R96" s="2">
        <f>IF($C$87="R",(1+(($C$36+R91)/'Other Data'!$C$92)^2),(1+(($C$36+R91)/'Other Data'!$C$92)^(2*$F$88)))</f>
        <v>1279990.2250764235</v>
      </c>
    </row>
    <row r="97" spans="2:18" ht="15" customHeight="1">
      <c r="B97"/>
      <c r="C97"/>
      <c r="D97"/>
      <c r="F97" s="1" t="s">
        <v>228</v>
      </c>
      <c r="G97" s="2"/>
      <c r="H97" s="2">
        <f>(H88^2)*((H92^2)/H95+(H93^2)/H96)</f>
        <v>4.1428663439032004E-10</v>
      </c>
      <c r="I97" s="2">
        <f aca="true" t="shared" si="4" ref="I97:R97">(I88^2)*((I92^2)/I95+(I93^2)/I96)</f>
        <v>4.0613022404887045E-10</v>
      </c>
      <c r="J97" s="2">
        <f t="shared" si="4"/>
        <v>4.0290149892460005E-10</v>
      </c>
      <c r="K97" s="2">
        <f t="shared" si="4"/>
        <v>4.016190264193129E-10</v>
      </c>
      <c r="L97" s="2">
        <f t="shared" si="4"/>
        <v>4.0110892486987735E-10</v>
      </c>
      <c r="M97" s="2">
        <f t="shared" si="4"/>
        <v>4.0090592264245316E-10</v>
      </c>
      <c r="N97" s="2">
        <f t="shared" si="4"/>
        <v>1.5957135343245255E-10</v>
      </c>
      <c r="O97" s="2">
        <f t="shared" si="4"/>
        <v>6.352140184934525E-11</v>
      </c>
      <c r="P97" s="2">
        <f t="shared" si="4"/>
        <v>2.5287517573110393E-11</v>
      </c>
      <c r="Q97" s="2">
        <f t="shared" si="4"/>
        <v>1.0067014015244272E-11</v>
      </c>
      <c r="R97" s="2">
        <f t="shared" si="4"/>
        <v>4.0077301700777245E-12</v>
      </c>
    </row>
    <row r="98" spans="1:2" ht="15" customHeight="1">
      <c r="A98" s="1"/>
      <c r="B98" s="2"/>
    </row>
    <row r="99" spans="1:2" ht="15" customHeight="1">
      <c r="A99" s="1"/>
      <c r="B99" s="2"/>
    </row>
    <row r="100" spans="1:3" ht="15" customHeight="1">
      <c r="A100" s="11" t="s">
        <v>229</v>
      </c>
      <c r="B100" s="25"/>
      <c r="C100" s="28">
        <f>IF('Amplifier Data'!C29=0,1,'Amplifier Data'!C29*IF('Amplifier Data'!D29=0,1,'Amplifier Data'!D29)*IF('Amplifier Data'!E29=0,1,'Amplifier Data'!E29)*IF('Amplifier Data'!F29=0,1,'Amplifier Data'!F29))</f>
        <v>50</v>
      </c>
    </row>
    <row r="101" spans="2:3" ht="15" customHeight="1">
      <c r="B101"/>
      <c r="C101"/>
    </row>
    <row r="102" spans="2:3" ht="15" customHeight="1">
      <c r="B102"/>
      <c r="C102"/>
    </row>
    <row r="103" spans="2:3" ht="15" customHeight="1">
      <c r="B103"/>
      <c r="C103"/>
    </row>
    <row r="104" spans="2:3" ht="15" customHeight="1">
      <c r="B104"/>
      <c r="C104"/>
    </row>
    <row r="105" spans="2:3" ht="15" customHeight="1">
      <c r="B105"/>
      <c r="C105"/>
    </row>
    <row r="106" spans="2:3" ht="15" customHeight="1">
      <c r="B106"/>
      <c r="C106"/>
    </row>
    <row r="107" spans="2:3" ht="15" customHeight="1">
      <c r="B107"/>
      <c r="C107"/>
    </row>
    <row r="108" spans="2:3" ht="15" customHeight="1">
      <c r="B108"/>
      <c r="C108"/>
    </row>
  </sheetData>
  <printOptions/>
  <pageMargins left="0.75" right="0.58" top="0.5" bottom="0.71" header="0.5" footer="0.5"/>
  <pageSetup horizontalDpi="300" verticalDpi="300" orientation="landscape" scale="90" r:id="rId1"/>
  <headerFooter alignWithMargins="0">
    <oddFooter>&amp;CPage &amp;P</oddFooter>
  </headerFooter>
  <rowBreaks count="3" manualBreakCount="3">
    <brk id="19" max="65535" man="1"/>
    <brk id="55" max="65535" man="1"/>
    <brk id="9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B45" sqref="B45"/>
    </sheetView>
  </sheetViews>
  <sheetFormatPr defaultColWidth="9.140625" defaultRowHeight="12.75"/>
  <cols>
    <col min="1" max="1" width="25.57421875" style="0" customWidth="1"/>
    <col min="2" max="2" width="10.28125" style="6" customWidth="1"/>
    <col min="3" max="4" width="11.140625" style="6" customWidth="1"/>
    <col min="5" max="5" width="11.00390625" style="6" customWidth="1"/>
    <col min="6" max="6" width="11.421875" style="6" customWidth="1"/>
    <col min="7" max="7" width="8.7109375" style="6" customWidth="1"/>
    <col min="8" max="8" width="48.00390625" style="0" customWidth="1"/>
  </cols>
  <sheetData>
    <row r="1" spans="4:5" ht="12.75">
      <c r="D1" s="2"/>
      <c r="E1" s="2" t="s">
        <v>230</v>
      </c>
    </row>
    <row r="2" spans="4:5" ht="12.75">
      <c r="D2" s="2"/>
      <c r="E2" s="2" t="s">
        <v>231</v>
      </c>
    </row>
    <row r="3" spans="4:5" ht="12.75">
      <c r="D3" s="2"/>
      <c r="E3" s="2" t="s">
        <v>232</v>
      </c>
    </row>
    <row r="4" spans="4:5" ht="12.75">
      <c r="D4" s="2"/>
      <c r="E4" s="2" t="s">
        <v>233</v>
      </c>
    </row>
    <row r="5" spans="4:5" ht="12.75">
      <c r="D5" s="2"/>
      <c r="E5" s="2" t="s">
        <v>234</v>
      </c>
    </row>
    <row r="6" spans="3:5" ht="18">
      <c r="C6" s="10"/>
      <c r="D6" s="2"/>
      <c r="E6" s="4"/>
    </row>
    <row r="7" spans="4:5" ht="12.75">
      <c r="D7"/>
      <c r="E7" s="64"/>
    </row>
    <row r="8" spans="1:8" ht="18.75" customHeight="1">
      <c r="A8" s="1"/>
      <c r="B8" s="2"/>
      <c r="C8" s="2"/>
      <c r="D8"/>
      <c r="E8" s="21" t="s">
        <v>235</v>
      </c>
      <c r="G8" s="2"/>
      <c r="H8" s="1"/>
    </row>
    <row r="9" spans="1:8" ht="27" customHeight="1">
      <c r="A9" s="39" t="s">
        <v>2</v>
      </c>
      <c r="B9" s="40" t="s">
        <v>3</v>
      </c>
      <c r="C9" s="40" t="s">
        <v>236</v>
      </c>
      <c r="D9" s="41" t="s">
        <v>237</v>
      </c>
      <c r="E9" s="41" t="s">
        <v>238</v>
      </c>
      <c r="F9" s="41" t="s">
        <v>239</v>
      </c>
      <c r="G9" s="41" t="s">
        <v>5</v>
      </c>
      <c r="H9" s="42" t="s">
        <v>240</v>
      </c>
    </row>
    <row r="10" spans="1:4" ht="2.25" customHeight="1" hidden="1">
      <c r="A10" s="1"/>
      <c r="B10" s="2"/>
      <c r="C10" s="21"/>
      <c r="D10" s="2"/>
    </row>
    <row r="11" spans="1:8" s="60" customFormat="1" ht="16.5" customHeight="1">
      <c r="A11" s="61" t="s">
        <v>241</v>
      </c>
      <c r="B11" s="62"/>
      <c r="C11" s="62" t="s">
        <v>242</v>
      </c>
      <c r="D11" s="62" t="s">
        <v>243</v>
      </c>
      <c r="E11" s="62"/>
      <c r="F11" s="62"/>
      <c r="G11" s="62"/>
      <c r="H11" s="63" t="s">
        <v>244</v>
      </c>
    </row>
    <row r="12" spans="1:8" ht="18.75">
      <c r="A12" s="1" t="s">
        <v>245</v>
      </c>
      <c r="B12" s="2" t="s">
        <v>246</v>
      </c>
      <c r="C12" s="90">
        <v>1000000000</v>
      </c>
      <c r="D12" s="90">
        <v>5000000000</v>
      </c>
      <c r="E12" s="91"/>
      <c r="F12" s="91"/>
      <c r="G12" s="2" t="s">
        <v>247</v>
      </c>
      <c r="H12" s="1" t="s">
        <v>248</v>
      </c>
    </row>
    <row r="13" spans="1:8" ht="18.75">
      <c r="A13" s="1" t="s">
        <v>249</v>
      </c>
      <c r="B13" s="2" t="s">
        <v>250</v>
      </c>
      <c r="C13" s="90">
        <v>1000000000</v>
      </c>
      <c r="D13" s="90">
        <v>1000000000000</v>
      </c>
      <c r="E13" s="91"/>
      <c r="F13" s="91"/>
      <c r="G13" s="2" t="s">
        <v>247</v>
      </c>
      <c r="H13" s="1" t="s">
        <v>251</v>
      </c>
    </row>
    <row r="14" spans="1:8" ht="18.75">
      <c r="A14" s="1" t="s">
        <v>252</v>
      </c>
      <c r="B14" s="18" t="s">
        <v>253</v>
      </c>
      <c r="C14" s="92">
        <v>150000</v>
      </c>
      <c r="D14" s="92">
        <v>120000</v>
      </c>
      <c r="E14" s="91"/>
      <c r="F14" s="91"/>
      <c r="G14" s="2" t="s">
        <v>26</v>
      </c>
      <c r="H14" s="8" t="s">
        <v>254</v>
      </c>
    </row>
    <row r="15" spans="1:8" ht="12.75">
      <c r="A15" s="1" t="s">
        <v>255</v>
      </c>
      <c r="B15" s="2" t="s">
        <v>256</v>
      </c>
      <c r="C15" s="93">
        <v>2.5E-05</v>
      </c>
      <c r="D15" s="93">
        <v>0.0004</v>
      </c>
      <c r="E15" s="94"/>
      <c r="F15" s="94"/>
      <c r="G15" s="2" t="s">
        <v>19</v>
      </c>
      <c r="H15" s="1" t="s">
        <v>257</v>
      </c>
    </row>
    <row r="16" spans="1:8" ht="12.75">
      <c r="A16" s="1" t="s">
        <v>258</v>
      </c>
      <c r="B16" s="9" t="s">
        <v>259</v>
      </c>
      <c r="C16" s="90">
        <v>2.5E-07</v>
      </c>
      <c r="D16" s="90">
        <v>2E-06</v>
      </c>
      <c r="E16" s="91"/>
      <c r="F16" s="91"/>
      <c r="G16" s="2" t="s">
        <v>260</v>
      </c>
      <c r="H16" s="1" t="s">
        <v>261</v>
      </c>
    </row>
    <row r="17" spans="1:8" ht="12.75">
      <c r="A17" s="1" t="s">
        <v>262</v>
      </c>
      <c r="B17" s="9" t="s">
        <v>263</v>
      </c>
      <c r="C17" s="43">
        <v>10</v>
      </c>
      <c r="D17" s="43">
        <v>10</v>
      </c>
      <c r="E17" s="91"/>
      <c r="F17" s="91"/>
      <c r="G17" s="2" t="s">
        <v>264</v>
      </c>
      <c r="H17" s="1" t="s">
        <v>265</v>
      </c>
    </row>
    <row r="18" spans="1:8" ht="12.75">
      <c r="A18" s="1" t="s">
        <v>266</v>
      </c>
      <c r="B18" s="2" t="s">
        <v>267</v>
      </c>
      <c r="C18" s="43">
        <v>0.01</v>
      </c>
      <c r="D18" s="43">
        <v>0.3</v>
      </c>
      <c r="E18" s="91"/>
      <c r="F18" s="91"/>
      <c r="G18" s="9" t="s">
        <v>268</v>
      </c>
      <c r="H18" s="1" t="s">
        <v>269</v>
      </c>
    </row>
    <row r="19" spans="1:8" ht="12.75">
      <c r="A19" s="1" t="s">
        <v>270</v>
      </c>
      <c r="B19" s="9" t="s">
        <v>271</v>
      </c>
      <c r="C19" s="90">
        <v>2E-05</v>
      </c>
      <c r="D19" s="90">
        <v>0.001</v>
      </c>
      <c r="E19" s="91"/>
      <c r="F19" s="91"/>
      <c r="G19" s="9" t="s">
        <v>272</v>
      </c>
      <c r="H19" s="1" t="s">
        <v>273</v>
      </c>
    </row>
    <row r="20" spans="1:8" ht="12.75">
      <c r="A20" s="1" t="s">
        <v>274</v>
      </c>
      <c r="B20" s="2" t="s">
        <v>275</v>
      </c>
      <c r="C20" s="43">
        <v>20</v>
      </c>
      <c r="D20" s="43">
        <v>20</v>
      </c>
      <c r="E20" s="91"/>
      <c r="F20" s="91"/>
      <c r="G20" s="2" t="s">
        <v>276</v>
      </c>
      <c r="H20" s="1" t="s">
        <v>277</v>
      </c>
    </row>
    <row r="21" spans="1:8" ht="15" customHeight="1">
      <c r="A21" s="1" t="s">
        <v>278</v>
      </c>
      <c r="B21" s="2" t="s">
        <v>279</v>
      </c>
      <c r="C21" s="43">
        <v>1000</v>
      </c>
      <c r="D21" s="43">
        <v>0</v>
      </c>
      <c r="E21" s="91"/>
      <c r="F21" s="91"/>
      <c r="G21" s="9" t="s">
        <v>268</v>
      </c>
      <c r="H21" s="1" t="s">
        <v>280</v>
      </c>
    </row>
    <row r="22" spans="1:8" ht="16.5" customHeight="1">
      <c r="A22" s="1" t="s">
        <v>281</v>
      </c>
      <c r="B22" s="18" t="s">
        <v>282</v>
      </c>
      <c r="C22" s="43">
        <v>100</v>
      </c>
      <c r="D22" s="43">
        <v>100</v>
      </c>
      <c r="E22" s="43"/>
      <c r="F22" s="43"/>
      <c r="G22" s="2" t="s">
        <v>26</v>
      </c>
      <c r="H22" s="1" t="s">
        <v>283</v>
      </c>
    </row>
    <row r="23" spans="1:8" ht="15" customHeight="1">
      <c r="A23" s="1" t="s">
        <v>284</v>
      </c>
      <c r="B23" s="2" t="s">
        <v>285</v>
      </c>
      <c r="C23" s="43" t="s">
        <v>37</v>
      </c>
      <c r="D23" s="43" t="s">
        <v>37</v>
      </c>
      <c r="E23" s="91"/>
      <c r="F23" s="91"/>
      <c r="G23" s="2" t="s">
        <v>286</v>
      </c>
      <c r="H23" s="1" t="s">
        <v>287</v>
      </c>
    </row>
    <row r="24" spans="1:8" ht="15.75" customHeight="1">
      <c r="A24" s="1" t="s">
        <v>288</v>
      </c>
      <c r="B24" s="2" t="s">
        <v>289</v>
      </c>
      <c r="C24" s="43">
        <v>0.004</v>
      </c>
      <c r="D24" s="43">
        <v>0</v>
      </c>
      <c r="E24" s="91"/>
      <c r="F24" s="91"/>
      <c r="G24" s="9" t="s">
        <v>290</v>
      </c>
      <c r="H24" s="1" t="s">
        <v>291</v>
      </c>
    </row>
    <row r="25" spans="1:8" ht="18.75">
      <c r="A25" s="1" t="s">
        <v>292</v>
      </c>
      <c r="B25" s="2" t="s">
        <v>293</v>
      </c>
      <c r="C25" s="43">
        <v>0.06</v>
      </c>
      <c r="D25" s="43">
        <v>0</v>
      </c>
      <c r="E25" s="91"/>
      <c r="F25" s="91"/>
      <c r="G25" s="2" t="s">
        <v>294</v>
      </c>
      <c r="H25" s="1" t="s">
        <v>295</v>
      </c>
    </row>
    <row r="26" spans="1:8" ht="12.75">
      <c r="A26" s="1" t="s">
        <v>296</v>
      </c>
      <c r="B26" s="2" t="s">
        <v>297</v>
      </c>
      <c r="C26" s="90">
        <v>500000</v>
      </c>
      <c r="D26" s="90">
        <v>100000</v>
      </c>
      <c r="E26" s="91"/>
      <c r="F26" s="91"/>
      <c r="G26" s="2" t="s">
        <v>56</v>
      </c>
      <c r="H26" s="1" t="s">
        <v>298</v>
      </c>
    </row>
    <row r="27" spans="1:8" ht="15.75">
      <c r="A27" s="1" t="s">
        <v>299</v>
      </c>
      <c r="B27" s="18" t="s">
        <v>300</v>
      </c>
      <c r="C27" s="43">
        <v>10</v>
      </c>
      <c r="D27" s="43">
        <v>50</v>
      </c>
      <c r="E27" s="91"/>
      <c r="F27" s="91"/>
      <c r="G27" s="2" t="s">
        <v>301</v>
      </c>
      <c r="H27" s="1" t="s">
        <v>302</v>
      </c>
    </row>
    <row r="28" spans="1:8" ht="16.5" customHeight="1">
      <c r="A28" s="1" t="s">
        <v>21</v>
      </c>
      <c r="B28" s="2" t="s">
        <v>22</v>
      </c>
      <c r="C28" s="43">
        <v>5</v>
      </c>
      <c r="D28" s="43">
        <v>5</v>
      </c>
      <c r="E28" s="43"/>
      <c r="F28" s="43"/>
      <c r="G28" s="2" t="s">
        <v>19</v>
      </c>
      <c r="H28" s="1" t="s">
        <v>303</v>
      </c>
    </row>
    <row r="29" spans="1:8" ht="12.75">
      <c r="A29" s="1" t="s">
        <v>304</v>
      </c>
      <c r="B29" s="2" t="s">
        <v>305</v>
      </c>
      <c r="C29" s="43">
        <v>50</v>
      </c>
      <c r="D29" s="43">
        <v>1</v>
      </c>
      <c r="E29" s="43"/>
      <c r="F29" s="43"/>
      <c r="G29" s="2" t="s">
        <v>56</v>
      </c>
      <c r="H29" s="1" t="s">
        <v>306</v>
      </c>
    </row>
    <row r="30" spans="1:8" ht="12.75">
      <c r="A30" s="1" t="s">
        <v>307</v>
      </c>
      <c r="B30" s="9" t="s">
        <v>308</v>
      </c>
      <c r="C30" s="43">
        <v>5</v>
      </c>
      <c r="D30" s="43">
        <v>15</v>
      </c>
      <c r="E30" s="43"/>
      <c r="F30" s="43"/>
      <c r="G30" s="2" t="s">
        <v>309</v>
      </c>
      <c r="H30" s="1" t="s">
        <v>310</v>
      </c>
    </row>
    <row r="31" spans="1:8" s="95" customFormat="1" ht="12.75">
      <c r="A31" s="96" t="s">
        <v>311</v>
      </c>
      <c r="B31" s="97" t="s">
        <v>312</v>
      </c>
      <c r="C31" s="97">
        <v>1000</v>
      </c>
      <c r="D31" s="97">
        <v>50</v>
      </c>
      <c r="E31" s="97"/>
      <c r="F31" s="97"/>
      <c r="G31" s="97" t="s">
        <v>247</v>
      </c>
      <c r="H31" s="96" t="s">
        <v>313</v>
      </c>
    </row>
    <row r="32" spans="1:8" ht="18.75">
      <c r="A32" s="75" t="s">
        <v>314</v>
      </c>
      <c r="B32" s="85" t="s">
        <v>315</v>
      </c>
      <c r="C32" s="86">
        <f>C16*C17</f>
        <v>2.4999999999999998E-06</v>
      </c>
      <c r="D32" s="86">
        <f>D16*D17</f>
        <v>1.9999999999999998E-05</v>
      </c>
      <c r="E32" s="86">
        <f>E16*E17</f>
        <v>0</v>
      </c>
      <c r="F32" s="86">
        <f>F16*F17</f>
        <v>0</v>
      </c>
      <c r="G32" s="77" t="s">
        <v>19</v>
      </c>
      <c r="H32" s="75" t="s">
        <v>261</v>
      </c>
    </row>
    <row r="33" spans="1:8" ht="16.5" customHeight="1">
      <c r="A33" s="75" t="s">
        <v>316</v>
      </c>
      <c r="B33" s="77" t="s">
        <v>317</v>
      </c>
      <c r="C33" s="86">
        <f>C18*0.000001*C31</f>
        <v>1E-05</v>
      </c>
      <c r="D33" s="86">
        <f>D18*0.000001*D31</f>
        <v>1.4999999999999999E-05</v>
      </c>
      <c r="E33" s="86">
        <f>E18*0.000001*E31</f>
        <v>0</v>
      </c>
      <c r="F33" s="86">
        <f>F18*0.000001*F31</f>
        <v>0</v>
      </c>
      <c r="G33" s="77" t="s">
        <v>19</v>
      </c>
      <c r="H33" s="75" t="s">
        <v>318</v>
      </c>
    </row>
    <row r="34" spans="1:8" ht="21">
      <c r="A34" s="75" t="s">
        <v>319</v>
      </c>
      <c r="B34" s="77" t="s">
        <v>320</v>
      </c>
      <c r="C34" s="86">
        <f>SQRT(4*(1.38E-23)*(C20+273)*C31)</f>
        <v>4.021641455923191E-09</v>
      </c>
      <c r="D34" s="86">
        <f>SQRT(4*(1.38E-23)*(D20+273)*D31)</f>
        <v>8.992663676575479E-10</v>
      </c>
      <c r="E34" s="86">
        <f>SQRT(4*(1.38E-23)*(E20+273)*E31)</f>
        <v>0</v>
      </c>
      <c r="F34" s="86">
        <f>SQRT(4*(1.38E-23)*(F20+273)*F31)</f>
        <v>0</v>
      </c>
      <c r="G34" s="77" t="s">
        <v>321</v>
      </c>
      <c r="H34" s="75" t="s">
        <v>322</v>
      </c>
    </row>
    <row r="35" spans="1:8" ht="21">
      <c r="A35" s="75" t="s">
        <v>323</v>
      </c>
      <c r="B35" s="70" t="s">
        <v>324</v>
      </c>
      <c r="C35" s="86">
        <f>((0.00000000057*(C31))*SQRT((C21*0.000001)/C22))</f>
        <v>1.8024982662959765E-09</v>
      </c>
      <c r="D35" s="86">
        <f>IF(D22=0,0,((0.00000000057*(D31))*SQRT((D21*0.000001)/D22)))</f>
        <v>0</v>
      </c>
      <c r="E35" s="86">
        <f>IF(E22=0,0,((0.00000000057*(E31))*SQRT((E21*0.000001)/E22)))</f>
        <v>0</v>
      </c>
      <c r="F35" s="86">
        <f>IF(F22=0,0,((0.00000000057*(F31))*SQRT((F21*0.000001)/F22)))</f>
        <v>0</v>
      </c>
      <c r="G35" s="77" t="s">
        <v>321</v>
      </c>
      <c r="H35" s="75" t="s">
        <v>325</v>
      </c>
    </row>
    <row r="36" spans="1:8" ht="19.5">
      <c r="A36" s="75" t="s">
        <v>326</v>
      </c>
      <c r="B36" s="77" t="s">
        <v>327</v>
      </c>
      <c r="C36" s="86">
        <f>SQRT(C34^2+C35^2+(C24*0.000001)^2+((C25*0.000000000001)^2*C31^2))*SQRT(C14)*6.6</f>
        <v>1.5214295606435414E-05</v>
      </c>
      <c r="D36" s="86">
        <f>SQRT(D34^2+D35^2+(D24*0.000001)^2+((D25*0.000000000001)^2*D31^2))*SQRT(D14)*6.6</f>
        <v>2.0559990505834384E-06</v>
      </c>
      <c r="E36" s="86">
        <f>SQRT(E34^2+E35^2+(E24*0.000001)^2+((E25*0.000000000001)^2*E31^2))*SQRT(E14)*6.6</f>
        <v>0</v>
      </c>
      <c r="F36" s="86">
        <f>SQRT(F34^2+F35^2+(F24*0.000001)^2+((F25*0.000000000001)^2*F31^2))*SQRT(F14)*6.6</f>
        <v>0</v>
      </c>
      <c r="G36" s="77" t="s">
        <v>19</v>
      </c>
      <c r="H36" s="75" t="s">
        <v>328</v>
      </c>
    </row>
    <row r="37" spans="1:8" ht="18.75">
      <c r="A37" s="75" t="s">
        <v>329</v>
      </c>
      <c r="B37" s="70" t="s">
        <v>330</v>
      </c>
      <c r="C37" s="86">
        <f>C27*(C28/C29)*0.000001</f>
        <v>1E-06</v>
      </c>
      <c r="D37" s="86">
        <f>IF(D29=0,0,(D27*D28/D29)*0.000001)</f>
        <v>0.00025</v>
      </c>
      <c r="E37" s="86">
        <f>IF(E29=0,0,(E27*E28/E29)*0.000001)</f>
        <v>0</v>
      </c>
      <c r="F37" s="86">
        <f>IF(F29=0,0,(F27*F28/F29)*0.000001)</f>
        <v>0</v>
      </c>
      <c r="G37" s="77" t="s">
        <v>19</v>
      </c>
      <c r="H37" s="75" t="s">
        <v>331</v>
      </c>
    </row>
    <row r="38" spans="1:8" ht="18.75">
      <c r="A38" s="75" t="s">
        <v>332</v>
      </c>
      <c r="B38" s="77" t="s">
        <v>333</v>
      </c>
      <c r="C38" s="86">
        <f>C30*(C17*C28/C29)*0.000001</f>
        <v>4.9999999999999996E-06</v>
      </c>
      <c r="D38" s="86">
        <f>IF(D29=0,0,(D30*D17*D28/D29)*0.000001)</f>
        <v>0.00075</v>
      </c>
      <c r="E38" s="86">
        <f>IF(E29=0,0,(E30*E17*E28/E29)*0.000001)</f>
        <v>0</v>
      </c>
      <c r="F38" s="86">
        <f>IF(F29=0,0,(F30*F17*F28/F29)*0.000001)</f>
        <v>0</v>
      </c>
      <c r="G38" s="77" t="s">
        <v>19</v>
      </c>
      <c r="H38" s="75" t="s">
        <v>334</v>
      </c>
    </row>
    <row r="39" spans="1:8" s="52" customFormat="1" ht="19.5">
      <c r="A39" s="87" t="s">
        <v>335</v>
      </c>
      <c r="B39" s="72" t="s">
        <v>336</v>
      </c>
      <c r="C39" s="98">
        <f>(((IF(C23="A",C15,0)+C33+C37+SQRT(C32^2+C36^2+C38^2))*C29)/C28)*100</f>
        <v>0.02720878745619178</v>
      </c>
      <c r="D39" s="98">
        <f>IF(D28=0,0,(((IF(D23="A",D15,0)+D33+D37+SQRT(D32^2+D36^2+D38^2))*D29)/D28)*100)</f>
        <v>0.020305388727148602</v>
      </c>
      <c r="E39" s="98">
        <f>IF(E28=0,0,(((IF(E23="A",E15,0)+E33+E37+SQRT(E32^2+E36^2+E38^2))*E29)/E28)*100)</f>
        <v>0</v>
      </c>
      <c r="F39" s="98">
        <f>IF(F28=0,0,(((IF(F23="A",F15,0)+F33+F37+SQRT(F32^2+F36^2+F38^2))*F29)/F28)*100)</f>
        <v>0</v>
      </c>
      <c r="G39" s="88" t="s">
        <v>15</v>
      </c>
      <c r="H39" s="68" t="s">
        <v>337</v>
      </c>
    </row>
    <row r="40" spans="2:7" ht="12.75">
      <c r="B40"/>
      <c r="C40"/>
      <c r="D40"/>
      <c r="E40"/>
      <c r="F40"/>
      <c r="G40"/>
    </row>
    <row r="41" spans="1:8" ht="12.75">
      <c r="A41" s="1"/>
      <c r="B41" s="2"/>
      <c r="C41" s="2"/>
      <c r="D41" s="2"/>
      <c r="E41" s="2"/>
      <c r="F41" s="2"/>
      <c r="G41" s="2"/>
      <c r="H41" s="1"/>
    </row>
    <row r="42" spans="1:8" ht="12.75">
      <c r="A42" s="1"/>
      <c r="B42" s="2"/>
      <c r="C42" s="2"/>
      <c r="D42" s="2"/>
      <c r="E42" s="2"/>
      <c r="F42" s="2"/>
      <c r="G42" s="2"/>
      <c r="H42" s="1"/>
    </row>
    <row r="43" spans="1:8" ht="12.75">
      <c r="A43" s="1"/>
      <c r="B43" s="2"/>
      <c r="C43" s="2"/>
      <c r="D43" s="2"/>
      <c r="E43" s="2"/>
      <c r="F43" s="2"/>
      <c r="G43" s="2"/>
      <c r="H43" s="1"/>
    </row>
    <row r="44" spans="2:8" ht="12.75">
      <c r="B44"/>
      <c r="C44" s="2"/>
      <c r="D44" s="2"/>
      <c r="E44" s="2"/>
      <c r="F44" s="2"/>
      <c r="G44" s="2"/>
      <c r="H44" s="1"/>
    </row>
    <row r="45" spans="1:8" ht="12.75">
      <c r="A45" s="1"/>
      <c r="B45" s="2"/>
      <c r="C45" s="2"/>
      <c r="D45" s="2"/>
      <c r="E45" s="2"/>
      <c r="F45" s="2"/>
      <c r="G45" s="2"/>
      <c r="H45" s="1"/>
    </row>
    <row r="46" spans="1:8" ht="12.75">
      <c r="A46" s="1"/>
      <c r="B46" s="2"/>
      <c r="C46" s="2"/>
      <c r="D46" s="2"/>
      <c r="E46" s="2"/>
      <c r="F46" s="2"/>
      <c r="G46" s="2"/>
      <c r="H46" s="1"/>
    </row>
    <row r="47" spans="1:8" ht="12.75">
      <c r="A47" s="1"/>
      <c r="B47" s="2"/>
      <c r="C47" s="2"/>
      <c r="D47" s="2"/>
      <c r="E47" s="2"/>
      <c r="F47" s="2"/>
      <c r="G47" s="2"/>
      <c r="H47" s="1"/>
    </row>
    <row r="48" spans="1:8" ht="12.75">
      <c r="A48" s="1"/>
      <c r="B48" s="2"/>
      <c r="C48" s="2"/>
      <c r="D48" s="2"/>
      <c r="E48" s="2"/>
      <c r="F48" s="2"/>
      <c r="G48" s="2"/>
      <c r="H48" s="1"/>
    </row>
    <row r="49" spans="1:8" ht="12.75">
      <c r="A49" s="1"/>
      <c r="B49" s="2"/>
      <c r="C49" s="2"/>
      <c r="D49" s="2"/>
      <c r="E49" s="2"/>
      <c r="F49" s="2"/>
      <c r="G49" s="2"/>
      <c r="H49" s="1"/>
    </row>
  </sheetData>
  <printOptions/>
  <pageMargins left="0.4" right="0.58" top="0.88" bottom="0.83" header="0.5" footer="0.5"/>
  <pageSetup horizontalDpi="300" verticalDpi="300" orientation="landscape" scale="9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4">
      <selection activeCell="H46" sqref="H46"/>
    </sheetView>
  </sheetViews>
  <sheetFormatPr defaultColWidth="9.140625" defaultRowHeight="12.75"/>
  <cols>
    <col min="1" max="1" width="27.140625" style="1" customWidth="1"/>
    <col min="2" max="2" width="10.421875" style="2" customWidth="1"/>
    <col min="3" max="3" width="11.140625" style="2" customWidth="1"/>
    <col min="4" max="4" width="14.57421875" style="2" customWidth="1"/>
    <col min="5" max="5" width="11.00390625" style="1" customWidth="1"/>
    <col min="6" max="6" width="10.28125" style="1" customWidth="1"/>
    <col min="7" max="8" width="9.140625" style="1" customWidth="1"/>
    <col min="9" max="9" width="10.7109375" style="1" customWidth="1"/>
    <col min="10" max="16384" width="9.140625" style="1" customWidth="1"/>
  </cols>
  <sheetData>
    <row r="1" ht="12.75">
      <c r="D1"/>
    </row>
    <row r="2" ht="20.25">
      <c r="D2" s="14"/>
    </row>
    <row r="3" spans="1:5" s="5" customFormat="1" ht="18">
      <c r="A3"/>
      <c r="B3"/>
      <c r="C3"/>
      <c r="D3"/>
      <c r="E3"/>
    </row>
    <row r="4" spans="1:5" s="5" customFormat="1" ht="12" customHeight="1">
      <c r="A4" s="3"/>
      <c r="B4" s="4"/>
      <c r="C4" s="4"/>
      <c r="D4" s="7"/>
      <c r="E4" s="7"/>
    </row>
    <row r="5" spans="1:5" s="5" customFormat="1" ht="16.5" customHeight="1">
      <c r="A5" s="3"/>
      <c r="B5" s="4"/>
      <c r="C5" s="15"/>
      <c r="D5" s="7"/>
      <c r="E5" s="7"/>
    </row>
    <row r="6" spans="1:5" s="5" customFormat="1" ht="18.75" customHeight="1">
      <c r="A6" s="3"/>
      <c r="B6" s="14" t="s">
        <v>338</v>
      </c>
      <c r="C6"/>
      <c r="D6" s="7"/>
      <c r="E6" s="7"/>
    </row>
    <row r="7" spans="1:9" ht="12.75">
      <c r="A7"/>
      <c r="B7"/>
      <c r="C7"/>
      <c r="D7"/>
      <c r="E7"/>
      <c r="H7" s="1" t="s">
        <v>339</v>
      </c>
      <c r="I7" s="1" t="s">
        <v>340</v>
      </c>
    </row>
    <row r="8" spans="1:9" ht="12.75">
      <c r="A8"/>
      <c r="B8"/>
      <c r="C8"/>
      <c r="D8"/>
      <c r="E8"/>
      <c r="H8" s="1">
        <v>0</v>
      </c>
      <c r="I8" s="1">
        <v>0</v>
      </c>
    </row>
    <row r="9" spans="1:9" ht="18">
      <c r="A9" s="3" t="s">
        <v>341</v>
      </c>
      <c r="B9" s="4" t="s">
        <v>342</v>
      </c>
      <c r="C9" s="4" t="s">
        <v>4</v>
      </c>
      <c r="D9" s="7" t="s">
        <v>5</v>
      </c>
      <c r="E9" s="7"/>
      <c r="H9" s="1">
        <v>0.3</v>
      </c>
      <c r="I9" s="1">
        <v>1.201</v>
      </c>
    </row>
    <row r="10" spans="1:9" ht="12.75">
      <c r="A10"/>
      <c r="B10"/>
      <c r="C10"/>
      <c r="D10"/>
      <c r="H10" s="1">
        <v>0.3</v>
      </c>
      <c r="I10" s="1">
        <v>1.093</v>
      </c>
    </row>
    <row r="11" spans="2:9" ht="15.75">
      <c r="B11" s="21" t="s">
        <v>343</v>
      </c>
      <c r="C11"/>
      <c r="H11" s="1">
        <v>0.2</v>
      </c>
      <c r="I11" s="1">
        <v>0.115</v>
      </c>
    </row>
    <row r="12" spans="1:9" ht="19.5">
      <c r="A12" s="1" t="str">
        <f>IF('Other Data'!C5="s","Sensor","Sensor Mean")</f>
        <v>Sensor</v>
      </c>
      <c r="B12" s="17" t="s">
        <v>14</v>
      </c>
      <c r="C12" s="99">
        <f>'Other Data'!$C$6</f>
        <v>0.1</v>
      </c>
      <c r="D12" s="2" t="s">
        <v>15</v>
      </c>
      <c r="H12" s="1">
        <v>0.2</v>
      </c>
      <c r="I12" s="1">
        <v>0.119</v>
      </c>
    </row>
    <row r="13" spans="1:9" ht="19.5">
      <c r="A13" s="1" t="str">
        <f>IF('Other Data'!C10="s","Interface","Interface Mean")</f>
        <v>Interface</v>
      </c>
      <c r="B13" s="17" t="s">
        <v>344</v>
      </c>
      <c r="C13" s="99">
        <f>'Other Data'!$C$16</f>
        <v>0.01</v>
      </c>
      <c r="D13" s="2" t="s">
        <v>15</v>
      </c>
      <c r="H13" s="1">
        <v>0.1</v>
      </c>
      <c r="I13" s="1">
        <v>0.134</v>
      </c>
    </row>
    <row r="14" spans="1:9" ht="19.5">
      <c r="A14" s="1" t="s">
        <v>345</v>
      </c>
      <c r="B14" s="17" t="s">
        <v>346</v>
      </c>
      <c r="C14" s="99">
        <f>SQRT('Amplifier Data'!C39^2+'Amplifier Data'!D39^2+'Amplifier Data'!E39^2+'Amplifier Data'!F39^2)</f>
        <v>0.033950359735897245</v>
      </c>
      <c r="D14" s="2" t="s">
        <v>15</v>
      </c>
      <c r="H14" s="1">
        <v>0.1</v>
      </c>
      <c r="I14" s="1">
        <v>0.153</v>
      </c>
    </row>
    <row r="15" ht="12.75" hidden="1"/>
    <row r="16" spans="1:9" ht="19.5">
      <c r="A16" s="1" t="s">
        <v>347</v>
      </c>
      <c r="B16" s="17" t="s">
        <v>348</v>
      </c>
      <c r="C16" s="99">
        <f>'Other Data'!$C$24</f>
        <v>0.115</v>
      </c>
      <c r="D16" s="2" t="s">
        <v>15</v>
      </c>
      <c r="H16" s="1">
        <v>0.05</v>
      </c>
      <c r="I16" s="1">
        <v>0.172</v>
      </c>
    </row>
    <row r="17" spans="1:9" ht="18" customHeight="1">
      <c r="A17" s="1" t="s">
        <v>349</v>
      </c>
      <c r="B17" s="17" t="s">
        <v>350</v>
      </c>
      <c r="C17" s="99">
        <f>'Other Data'!C32</f>
        <v>0.0060233860193683415</v>
      </c>
      <c r="D17" s="2" t="s">
        <v>15</v>
      </c>
      <c r="H17" s="1">
        <v>0.05</v>
      </c>
      <c r="I17" s="1">
        <v>0.195</v>
      </c>
    </row>
    <row r="18" spans="1:4" ht="19.5">
      <c r="A18" s="1" t="s">
        <v>351</v>
      </c>
      <c r="B18" s="35" t="s">
        <v>352</v>
      </c>
      <c r="C18" s="99">
        <f>'Other Data'!C47</f>
        <v>7.502558343657585E-06</v>
      </c>
      <c r="D18" s="2" t="s">
        <v>15</v>
      </c>
    </row>
    <row r="19" spans="1:4" ht="19.5">
      <c r="A19" s="1" t="s">
        <v>353</v>
      </c>
      <c r="B19" s="35" t="s">
        <v>354</v>
      </c>
      <c r="C19" s="99">
        <f>'Other Data'!C44</f>
        <v>0.08417807578083303</v>
      </c>
      <c r="D19" s="2" t="s">
        <v>15</v>
      </c>
    </row>
    <row r="20" spans="1:4" ht="19.5">
      <c r="A20" s="1" t="s">
        <v>355</v>
      </c>
      <c r="B20" s="35" t="s">
        <v>356</v>
      </c>
      <c r="C20" s="99">
        <f>'Other Data'!$C$42</f>
        <v>3.289868377720495E-10</v>
      </c>
      <c r="D20" s="2" t="s">
        <v>15</v>
      </c>
    </row>
    <row r="21" spans="1:4" ht="19.5">
      <c r="A21" s="1" t="s">
        <v>357</v>
      </c>
      <c r="B21" s="35" t="s">
        <v>358</v>
      </c>
      <c r="C21" s="99">
        <f>'Other Data'!C54</f>
        <v>0.0040012492197250395</v>
      </c>
      <c r="D21" s="2" t="s">
        <v>15</v>
      </c>
    </row>
    <row r="22" spans="1:4" ht="19.5">
      <c r="A22" s="1" t="s">
        <v>359</v>
      </c>
      <c r="B22" s="35" t="s">
        <v>360</v>
      </c>
      <c r="C22" s="99">
        <f>'Other Data'!C64</f>
        <v>0.02063340980061221</v>
      </c>
      <c r="D22" s="2" t="s">
        <v>15</v>
      </c>
    </row>
    <row r="23" spans="1:9" ht="19.5">
      <c r="A23" s="1" t="s">
        <v>361</v>
      </c>
      <c r="B23" s="35" t="s">
        <v>362</v>
      </c>
      <c r="C23" s="99">
        <f>'Other Data'!C74</f>
        <v>0.002442414469951317</v>
      </c>
      <c r="D23" s="2" t="s">
        <v>15</v>
      </c>
      <c r="G23" s="17"/>
      <c r="H23" s="34"/>
      <c r="I23" s="2"/>
    </row>
    <row r="24" spans="1:4" ht="19.5" customHeight="1">
      <c r="A24" s="1" t="s">
        <v>363</v>
      </c>
      <c r="B24" s="35" t="s">
        <v>364</v>
      </c>
      <c r="C24" s="99">
        <f>'Other Data'!C83</f>
        <v>0.013031948963187562</v>
      </c>
      <c r="D24" s="2" t="s">
        <v>15</v>
      </c>
    </row>
    <row r="25" spans="1:5" s="51" customFormat="1" ht="19.5">
      <c r="A25" s="1" t="s">
        <v>369</v>
      </c>
      <c r="B25" s="35" t="s">
        <v>370</v>
      </c>
      <c r="C25" s="99">
        <f>'Other Data'!C90</f>
        <v>0.115</v>
      </c>
      <c r="D25" s="2" t="s">
        <v>15</v>
      </c>
      <c r="E25" s="54"/>
    </row>
    <row r="26" spans="1:11" s="29" customFormat="1" ht="19.5" customHeight="1">
      <c r="A26" s="1" t="s">
        <v>371</v>
      </c>
      <c r="B26" s="35" t="s">
        <v>372</v>
      </c>
      <c r="C26" s="99">
        <f>'Other Data'!C89</f>
        <v>0.0004070806477298178</v>
      </c>
      <c r="D26" s="2" t="s">
        <v>15</v>
      </c>
      <c r="H26" s="1" t="s">
        <v>365</v>
      </c>
      <c r="I26" s="1" t="s">
        <v>366</v>
      </c>
      <c r="J26" s="1" t="s">
        <v>367</v>
      </c>
      <c r="K26" s="1" t="s">
        <v>368</v>
      </c>
    </row>
    <row r="27" spans="8:9" ht="12.75" hidden="1">
      <c r="H27" s="109"/>
      <c r="I27" s="109"/>
    </row>
    <row r="28" spans="1:11" ht="18" customHeight="1">
      <c r="A28" s="110" t="s">
        <v>373</v>
      </c>
      <c r="B28" s="72" t="s">
        <v>374</v>
      </c>
      <c r="C28" s="111">
        <f>IF('Other Data'!C$10="s",IF('Other Data'!C$5="s",K28,J28),IF('Other Data'!C5="s",H28,I28))</f>
        <v>0.3181793253295449</v>
      </c>
      <c r="D28" s="77" t="s">
        <v>15</v>
      </c>
      <c r="E28"/>
      <c r="F28"/>
      <c r="G28"/>
      <c r="H28" s="108">
        <f>$C$13+$C$16+$C$20+$C$19+$C$21+$C$25</f>
        <v>0.3281793253295449</v>
      </c>
      <c r="I28" s="108">
        <f>$C$12+$C$13+$C$16+$C$20+$C$19+$C$21+$C$25</f>
        <v>0.4281793253295449</v>
      </c>
      <c r="J28" s="108">
        <f>$C$12+$C$16+$C$20+$C$19+$C$21+$C$25</f>
        <v>0.41817932532954494</v>
      </c>
      <c r="K28" s="108">
        <f>$C$16+$C$20+$C$19+$C$21+$C$25</f>
        <v>0.3181793253295449</v>
      </c>
    </row>
    <row r="29" spans="1:11" s="50" customFormat="1" ht="16.5" customHeight="1">
      <c r="A29" s="68" t="s">
        <v>375</v>
      </c>
      <c r="B29" s="72" t="s">
        <v>376</v>
      </c>
      <c r="C29" s="111">
        <f>IF('Other Data'!C$10="s",IF('Other Data'!C$5="s",K29,J29),IF('Other Data'!C$5="s",H29,I29))</f>
        <v>0.10904406704859942</v>
      </c>
      <c r="D29" s="77" t="s">
        <v>15</v>
      </c>
      <c r="E29" s="101"/>
      <c r="F29" s="100"/>
      <c r="H29" s="108">
        <f>SQRT($C$12^2+$C$26^2+$C$17^2+$C$14^2+$C$18^2+$C$22^2+$C$23^2+$C$24^2)</f>
        <v>0.1085845686941724</v>
      </c>
      <c r="I29" s="108">
        <f>SQRT($C$26^2+$C$17^2+$C$14^2+$C$18^2+$C$22^2+$C$23^2+$C$24^2)</f>
        <v>0.042315582927562816</v>
      </c>
      <c r="J29" s="108">
        <f>SQRT($C$13^2+$C$26^2+$C$17^2+$C$14^2+$C$18^2+$C$22^2+$C$23^2+$C$24^2)</f>
        <v>0.04348112876294089</v>
      </c>
      <c r="K29" s="108">
        <f>SQRT($C$12^2+$C$13^2+$C$26^2+$C$17^2+$C$14^2+$C$18^2+$C$22^2+$C$23^2+$C$24^2)</f>
        <v>0.10904406704859942</v>
      </c>
    </row>
    <row r="30" spans="1:11" s="29" customFormat="1" ht="20.25" customHeight="1">
      <c r="A30" s="87" t="s">
        <v>377</v>
      </c>
      <c r="B30" s="89" t="s">
        <v>378</v>
      </c>
      <c r="C30" s="111">
        <f>IF('Other Data'!$C$10="s",IF('Other Data'!$C$5="s",$K30,$J30),IF('Other Data'!$C$5="s",$H30,$I30))</f>
        <v>0.42722339237814433</v>
      </c>
      <c r="D30" s="88" t="s">
        <v>15</v>
      </c>
      <c r="E30"/>
      <c r="F30" t="s">
        <v>394</v>
      </c>
      <c r="G30"/>
      <c r="H30" s="108">
        <f>$C$13+$C$16+$C$20+$C$19+$C$21+$C$25+SQRT($C$12^2+$C$26^2+$C$17^2+$C$14^2+$C$18^2+$C$22^2+$C$23^2+$C$24^2)</f>
        <v>0.4367638940237173</v>
      </c>
      <c r="I30" s="108">
        <f>$C$12+$C$13+$C$16+$C$20+$C$19+$C$21+$C$25+SQRT($C$26^2+$C$17^2+$C$14^2+$C$18^2+$C$22^2+$C$23^2+$C$24^2)</f>
        <v>0.4704949082571077</v>
      </c>
      <c r="J30" s="108">
        <f>$C$12+$C$16+$C$20+$C$19+$C$21+$C$25+SQRT($C$13^2+$C$26^2+$C$17^2+$C$14^2+$C$18^2+$C$22^2+$C$23^2+$C$24^2)</f>
        <v>0.46166045409248585</v>
      </c>
      <c r="K30" s="108">
        <f>$C$16+$C$20+$C$19+$C$21+$C$25+SQRT($C$12^2+$C$13^2+$C$26^2+$C$17^2+$C$14^2+$C$18^2+$C$22^2+$C$23^2+$C$24^2)</f>
        <v>0.42722339237814433</v>
      </c>
    </row>
    <row r="31" spans="1:11" ht="12.75">
      <c r="A31"/>
      <c r="B31"/>
      <c r="C31"/>
      <c r="D31"/>
      <c r="F31" s="111">
        <f>IF('Other Data'!$C$10="s",IF('Other Data'!$C$5="s",$K31,$J31),IF('Other Data'!$C$5="s",$H31,$I31))</f>
        <v>0.3181793253295449</v>
      </c>
      <c r="G31" s="1" t="s">
        <v>392</v>
      </c>
      <c r="H31" s="108">
        <f>$C$13+$C$16+$C$20+$C$19+$C$21+$C$25</f>
        <v>0.3281793253295449</v>
      </c>
      <c r="I31" s="108">
        <f>$C$12+$C$13+$C$16+$C$20+$C$19+$C$21+$C$25</f>
        <v>0.4281793253295449</v>
      </c>
      <c r="J31" s="108">
        <f>$C$12+$C$16+$C$20+$C$19+$C$21+$C$25</f>
        <v>0.41817932532954494</v>
      </c>
      <c r="K31" s="108">
        <f>$C$16+$C$20+$C$19+$C$21+$C$25</f>
        <v>0.3181793253295449</v>
      </c>
    </row>
    <row r="32" spans="1:11" ht="16.5" customHeight="1">
      <c r="A32"/>
      <c r="B32"/>
      <c r="C32"/>
      <c r="D32"/>
      <c r="F32" s="111">
        <f>IF('Other Data'!$C$10="s",IF('Other Data'!$C$5="s",$K32,$J32),IF('Other Data'!$C$5="s",$H32,$I32))</f>
        <v>0.10904406704859942</v>
      </c>
      <c r="G32" s="116" t="s">
        <v>393</v>
      </c>
      <c r="H32" s="108">
        <f>SQRT($C$12^2+$C$26^2+$C$17^2+$C$14^2+$C$18^2+$C$22^2+$C$23^2+$C$24^2)</f>
        <v>0.1085845686941724</v>
      </c>
      <c r="I32" s="108">
        <f>SQRT($C$26^2+$C$17^2+$C$14^2+$C$18^2+$C$22^2+$C$23^2+$C$24^2)</f>
        <v>0.042315582927562816</v>
      </c>
      <c r="J32" s="108">
        <f>SQRT($C$13^2+$C$26^2+$C$17^2+$C$14^2+$C$18^2+$C$22^2+$C$23^2+$C$24^2)</f>
        <v>0.04348112876294089</v>
      </c>
      <c r="K32" s="108">
        <f>SQRT($C$12^2+$C$13^2+$C$26^2+$C$17^2+$C$14^2+$C$18^2+$C$22^2+$C$23^2+$C$24^2)</f>
        <v>0.10904406704859942</v>
      </c>
    </row>
    <row r="33" spans="2:6" s="55" customFormat="1" ht="13.5" customHeight="1">
      <c r="B33" s="56"/>
      <c r="C33" s="57"/>
      <c r="D33" s="58"/>
      <c r="F33" s="59"/>
    </row>
    <row r="34" spans="2:6" ht="17.25" customHeight="1">
      <c r="B34" s="35"/>
      <c r="C34" s="38"/>
      <c r="F34"/>
    </row>
    <row r="35" spans="1:6" ht="18" customHeight="1">
      <c r="A35" s="53"/>
      <c r="B35" s="35"/>
      <c r="C35" s="38"/>
      <c r="E35"/>
      <c r="F35"/>
    </row>
    <row r="36" spans="1:6" ht="15" customHeight="1">
      <c r="A36" s="37"/>
      <c r="B36" s="1"/>
      <c r="D36" s="1"/>
      <c r="F36"/>
    </row>
    <row r="37" spans="1:5" s="51" customFormat="1" ht="14.25" customHeight="1">
      <c r="A37" s="1"/>
      <c r="B37"/>
      <c r="C37"/>
      <c r="D37"/>
      <c r="E37"/>
    </row>
    <row r="38" spans="1:6" s="106" customFormat="1" ht="18.75" customHeight="1">
      <c r="A38" s="102"/>
      <c r="B38" s="103"/>
      <c r="C38" s="104"/>
      <c r="D38" s="105"/>
      <c r="F38" s="107"/>
    </row>
    <row r="39" spans="1:6" ht="16.5" customHeight="1">
      <c r="A39" s="50"/>
      <c r="B39" s="1"/>
      <c r="C39" s="1"/>
      <c r="D39" s="1"/>
      <c r="F39"/>
    </row>
    <row r="40" spans="2:8" ht="16.5" customHeight="1">
      <c r="B40" s="1"/>
      <c r="C40" s="1"/>
      <c r="D40" s="1"/>
      <c r="F40" s="8" t="s">
        <v>387</v>
      </c>
      <c r="H40" s="2"/>
    </row>
    <row r="41" spans="1:2" ht="15.75">
      <c r="A41"/>
      <c r="B41" s="15" t="s">
        <v>379</v>
      </c>
    </row>
    <row r="42" spans="1:4" ht="12.75">
      <c r="A42"/>
      <c r="B42"/>
      <c r="C42"/>
      <c r="D42"/>
    </row>
    <row r="43" spans="1:4" ht="21.75">
      <c r="A43"/>
      <c r="B43" s="36" t="s">
        <v>380</v>
      </c>
      <c r="C43"/>
      <c r="D43" s="36" t="s">
        <v>381</v>
      </c>
    </row>
    <row r="44" spans="1:11" ht="12.75">
      <c r="A44" s="2" t="s">
        <v>382</v>
      </c>
      <c r="B44" s="8" t="s">
        <v>383</v>
      </c>
      <c r="D44" s="2" t="s">
        <v>384</v>
      </c>
      <c r="F44" s="2"/>
      <c r="G44" s="2"/>
      <c r="H44" s="2" t="s">
        <v>388</v>
      </c>
      <c r="I44" s="2" t="s">
        <v>388</v>
      </c>
      <c r="J44" s="1" t="s">
        <v>391</v>
      </c>
      <c r="K44" s="1" t="s">
        <v>391</v>
      </c>
    </row>
    <row r="45" spans="1:11" ht="18" customHeight="1">
      <c r="A45" s="2" t="s">
        <v>385</v>
      </c>
      <c r="B45" s="8" t="s">
        <v>386</v>
      </c>
      <c r="D45" s="2" t="s">
        <v>386</v>
      </c>
      <c r="F45" s="25" t="s">
        <v>209</v>
      </c>
      <c r="G45" s="114" t="s">
        <v>124</v>
      </c>
      <c r="H45" s="2" t="s">
        <v>389</v>
      </c>
      <c r="I45" s="2" t="s">
        <v>390</v>
      </c>
      <c r="J45" s="2" t="s">
        <v>389</v>
      </c>
      <c r="K45" s="2" t="s">
        <v>390</v>
      </c>
    </row>
    <row r="46" spans="1:10" ht="12.75">
      <c r="A46" s="33">
        <f>$A$56*10^(-10/5)</f>
        <v>10</v>
      </c>
      <c r="B46" s="38">
        <f>$F$31-$C$25+SQRT($F$32^2-$F$26^2-$F$24^2+G46^2)</f>
        <v>0.32670840501285114</v>
      </c>
      <c r="C46" s="38"/>
      <c r="D46" s="117">
        <f>$F$31+SQRT($F$32^2-$C$26^2+F46^2)</f>
        <v>0.4272226398744438</v>
      </c>
      <c r="F46" s="113">
        <f>100/SQRT(('Other Data'!$C$8^2)/IF('Other Data'!$C$87="D",'Other Data'!$R$94,'Other Data'!$R$97))</f>
        <v>4.003863219480767E-05</v>
      </c>
      <c r="G46" s="115">
        <f>((SQRT(2)*PI()*A46*IF('Other Data'!$C$17="h",'Other Data'!$R$88,'Other Data'!$C$7*'Other Data'!$C$100)/('Other Data'!$C$8*'Other Data'!$C$36*SQRT(6)))*100)</f>
        <v>0.058041579655494974</v>
      </c>
      <c r="H46" s="31"/>
      <c r="I46" s="112"/>
      <c r="J46" s="27"/>
    </row>
    <row r="47" spans="1:10" ht="12.75">
      <c r="A47" s="33">
        <f>$A$56*10^(-9/5)</f>
        <v>15.848931924611124</v>
      </c>
      <c r="B47" s="38">
        <f aca="true" t="shared" si="0" ref="B47:B56">$F$31-$C$25+SQRT($F$32^2-$F$26^2-$F$24^2+G47^2)</f>
        <v>0.34584226476380375</v>
      </c>
      <c r="D47" s="117">
        <f aca="true" t="shared" si="1" ref="D47:D56">$F$31+SQRT($F$32^2-$C$26^2+F47^2)</f>
        <v>0.42722265098797896</v>
      </c>
      <c r="F47" s="113">
        <f>100/SQRT(('Other Data'!$C$8^2)/IF('Other Data'!$C$87="D",'Other Data'!$Q$94,'Other Data'!$Q$97))</f>
        <v>6.345711627625154E-05</v>
      </c>
      <c r="G47" s="115">
        <f>((SQRT(2)*PI()*A47*IF('Other Data'!$C$17="h",'Other Data'!$Q$88,'Other Data'!$C$7*'Other Data'!$C$100)/('Other Data'!$C$8*'Other Data'!$C$36*SQRT(6)))*100)</f>
        <v>0.09198970447568339</v>
      </c>
      <c r="H47" s="31"/>
      <c r="I47" s="112"/>
      <c r="J47" s="27"/>
    </row>
    <row r="48" spans="1:10" ht="12.75">
      <c r="A48" s="33">
        <f>$A$56*10^(-8/5)</f>
        <v>25.11886431509578</v>
      </c>
      <c r="B48" s="38">
        <f t="shared" si="0"/>
        <v>0.38524101026761515</v>
      </c>
      <c r="D48" s="117">
        <f t="shared" si="1"/>
        <v>0.4272226789044085</v>
      </c>
      <c r="F48" s="113">
        <f>100/SQRT(('Other Data'!$C$8^2)/IF('Other Data'!$C$87="D",'Other Data'!$P$94,'Other Data'!$P$97))</f>
        <v>0.00010057339125854392</v>
      </c>
      <c r="G48" s="115">
        <f>((SQRT(2)*PI()*A48*IF('Other Data'!$C$17="h",'Other Data'!$P$88,'Other Data'!$C$7*'Other Data'!$C$100)/('Other Data'!$C$8*'Other Data'!$C$36*SQRT(6)))*100)</f>
        <v>0.14579385640002018</v>
      </c>
      <c r="H48" s="31"/>
      <c r="I48" s="112"/>
      <c r="J48" s="27"/>
    </row>
    <row r="49" spans="1:10" ht="12.75">
      <c r="A49" s="33">
        <f>$A$56*10^(-7/5)</f>
        <v>39.81071705534973</v>
      </c>
      <c r="B49" s="38">
        <f t="shared" si="0"/>
        <v>0.458684484096658</v>
      </c>
      <c r="D49" s="117">
        <f t="shared" si="1"/>
        <v>0.4272227490304102</v>
      </c>
      <c r="F49" s="113">
        <f>100/SQRT(('Other Data'!$C$8^2)/IF('Other Data'!$C$87="D",'Other Data'!$O$94,'Other Data'!$O$97))</f>
        <v>0.00015940062967171144</v>
      </c>
      <c r="G49" s="115">
        <f>((SQRT(2)*PI()*A49*IF('Other Data'!$C$17="h",'Other Data'!$O$88,'Other Data'!$C$7*'Other Data'!$C$100)/('Other Data'!$C$8*'Other Data'!$C$36*SQRT(6)))*100)</f>
        <v>0.23106769051104534</v>
      </c>
      <c r="H49" s="31"/>
      <c r="I49" s="112"/>
      <c r="J49" s="27"/>
    </row>
    <row r="50" spans="1:10" ht="12.75">
      <c r="A50" s="33">
        <f>$A$56*10^(-6/5)</f>
        <v>63.095734448019314</v>
      </c>
      <c r="B50" s="38">
        <f t="shared" si="0"/>
        <v>0.5852865697054928</v>
      </c>
      <c r="D50" s="117">
        <f t="shared" si="1"/>
        <v>0.4272229251985288</v>
      </c>
      <c r="F50" s="113">
        <f>100/SQRT(('Other Data'!$C$8^2)/IF('Other Data'!$C$87="D",'Other Data'!$N$94,'Other Data'!$N$97))</f>
        <v>0.0002526431106778513</v>
      </c>
      <c r="G50" s="115">
        <f>((SQRT(2)*PI()*A50*IF('Other Data'!$C$17="h",'Other Data'!$N$88,'Other Data'!$C$7*'Other Data'!$C$100)/('Other Data'!$C$8*'Other Data'!$C$36*SQRT(6)))*100)</f>
        <v>0.36621760968866707</v>
      </c>
      <c r="H50" s="31"/>
      <c r="I50" s="112"/>
      <c r="J50" s="27"/>
    </row>
    <row r="51" spans="1:10" ht="12.75">
      <c r="A51" s="33">
        <f>$A$56*10^(-5/5)</f>
        <v>100</v>
      </c>
      <c r="B51" s="38">
        <f t="shared" si="0"/>
        <v>0.7937494781894876</v>
      </c>
      <c r="D51" s="117">
        <f t="shared" si="1"/>
        <v>0.4272233678362988</v>
      </c>
      <c r="F51" s="113">
        <f>100/SQRT(('Other Data'!$C$8^2)/IF('Other Data'!$C$87="D",'Other Data'!$M$94,'Other Data'!$M$97))</f>
        <v>0.00040045270514379257</v>
      </c>
      <c r="G51" s="115">
        <f>((SQRT(2)*PI()*A51*IF('Other Data'!$C$17="h",'Other Data'!$M$88,'Other Data'!$C$7*'Other Data'!$C$100)/('Other Data'!$C$8*'Other Data'!$C$36*SQRT(6)))*100)</f>
        <v>0.5804157965549496</v>
      </c>
      <c r="H51" s="31"/>
      <c r="I51" s="112"/>
      <c r="J51" s="27"/>
    </row>
    <row r="52" spans="1:10" ht="12.75">
      <c r="A52" s="33">
        <f>$A$56*10^(-4/5)</f>
        <v>158.4893192461113</v>
      </c>
      <c r="B52" s="38">
        <f t="shared" si="0"/>
        <v>0.7937494781894878</v>
      </c>
      <c r="D52" s="117">
        <f t="shared" si="1"/>
        <v>0.4272233682086295</v>
      </c>
      <c r="F52" s="113">
        <f>100/SQRT(('Other Data'!$C$8^2)/IF('Other Data'!$C$87="D",'Other Data'!$L$94,'Other Data'!$L$97))</f>
        <v>0.0004005540786809578</v>
      </c>
      <c r="G52" s="115">
        <f>((SQRT(2)*PI()*A52*IF('Other Data'!$C$17="h",'Other Data'!$L$88,'Other Data'!$C$7*'Other Data'!$C$100)/('Other Data'!$C$8*'Other Data'!$C$36*SQRT(6)))*100)</f>
        <v>0.5804157965549498</v>
      </c>
      <c r="H52" s="31"/>
      <c r="I52" s="112"/>
      <c r="J52" s="27"/>
    </row>
    <row r="53" spans="1:10" ht="12.75">
      <c r="A53" s="33">
        <f>$A$56*10^(-3/5)</f>
        <v>251.188643150958</v>
      </c>
      <c r="B53" s="38">
        <f t="shared" si="0"/>
        <v>0.7937494781894878</v>
      </c>
      <c r="D53" s="117">
        <f t="shared" si="1"/>
        <v>0.4272233691442176</v>
      </c>
      <c r="F53" s="113">
        <f>100/SQRT(('Other Data'!$C$8^2)/IF('Other Data'!$C$87="D",'Other Data'!$K$94,'Other Data'!$K$97))</f>
        <v>0.00040080869572368954</v>
      </c>
      <c r="G53" s="115">
        <f>((SQRT(2)*PI()*A53*IF('Other Data'!$C$17="h",'Other Data'!$K$88,'Other Data'!$C$7*'Other Data'!$C$100)/('Other Data'!$C$8*'Other Data'!$C$36*SQRT(6)))*100)</f>
        <v>0.5804157965549498</v>
      </c>
      <c r="H53" s="31"/>
      <c r="I53" s="112"/>
      <c r="J53" s="27"/>
    </row>
    <row r="54" spans="1:10" ht="12.75">
      <c r="A54" s="33">
        <f>$A$56*10^(-2/5)</f>
        <v>398.1071705534972</v>
      </c>
      <c r="B54" s="38">
        <f t="shared" si="0"/>
        <v>0.7937494781894876</v>
      </c>
      <c r="D54" s="117">
        <f t="shared" si="1"/>
        <v>0.42722337149642764</v>
      </c>
      <c r="F54" s="113">
        <f>100/SQRT(('Other Data'!$C$8^2)/IF('Other Data'!$C$87="D",'Other Data'!$J$94,'Other Data'!$J$97))</f>
        <v>0.0004014481281184906</v>
      </c>
      <c r="G54" s="115">
        <f>((SQRT(2)*PI()*A54*IF('Other Data'!$C$17="h",'Other Data'!$J$88,'Other Data'!$C$7*'Other Data'!$C$100)/('Other Data'!$C$8*'Other Data'!$C$36*SQRT(6)))*100)</f>
        <v>0.5804157965549496</v>
      </c>
      <c r="H54" s="31"/>
      <c r="I54" s="112"/>
      <c r="J54" s="27"/>
    </row>
    <row r="55" spans="1:10" ht="12.75">
      <c r="A55" s="33">
        <f>$A$56*10^(-1/5)</f>
        <v>630.9573444801932</v>
      </c>
      <c r="B55" s="38">
        <f t="shared" si="0"/>
        <v>0.7937494781894878</v>
      </c>
      <c r="D55" s="117">
        <f t="shared" si="1"/>
        <v>0.4272233774183008</v>
      </c>
      <c r="F55" s="113">
        <f>100/SQRT(('Other Data'!$C$8^2)/IF('Other Data'!$C$87="D",'Other Data'!$I$94,'Other Data'!$I$97))</f>
        <v>0.0004030534575208953</v>
      </c>
      <c r="G55" s="115">
        <f>((SQRT(2)*PI()*A55*IF('Other Data'!$C$17="h",'Other Data'!$I$88,'Other Data'!$C$7*'Other Data'!$C$100)/('Other Data'!$C$8*'Other Data'!$C$36*SQRT(6)))*100)</f>
        <v>0.5804157965549498</v>
      </c>
      <c r="H55" s="31"/>
      <c r="I55" s="112"/>
      <c r="J55" s="27"/>
    </row>
    <row r="56" spans="1:10" ht="12.75">
      <c r="A56" s="33">
        <f>'Other Data'!C9</f>
        <v>1000</v>
      </c>
      <c r="B56" s="38">
        <f t="shared" si="0"/>
        <v>0.7937494781894878</v>
      </c>
      <c r="D56" s="117">
        <f t="shared" si="1"/>
        <v>0.42722339237814433</v>
      </c>
      <c r="F56" s="113">
        <f>100/SQRT(('Other Data'!$C$8^2)/IF('Other Data'!$C$87="D",'Other Data'!$H$94,'Other Data'!$H$97))</f>
        <v>0.0004070806477298178</v>
      </c>
      <c r="G56" s="115">
        <f>((SQRT(2)*PI()*A56*IF('Other Data'!$C$17="h",'Other Data'!$H$88,'Other Data'!$C$7*'Other Data'!$C$100)/('Other Data'!$C$8*'Other Data'!$C$36*SQRT(6)))*100)</f>
        <v>0.5804157965549498</v>
      </c>
      <c r="H56" s="31"/>
      <c r="I56" s="112"/>
      <c r="J56" s="27"/>
    </row>
  </sheetData>
  <printOptions/>
  <pageMargins left="1.62" right="1.54" top="1" bottom="1" header="0.5" footer="0.5"/>
  <pageSetup horizontalDpi="300" verticalDpi="300" orientation="portrait" r:id="rId1"/>
  <headerFooter alignWithMargins="0">
    <oddHeader>&amp;C&amp;A</oddHeader>
    <oddFooter>&amp;CPage &amp;P</oddFooter>
  </headerFooter>
  <rowBreaks count="1" manualBreakCount="1">
    <brk id="3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7" sqref="O7"/>
    </sheetView>
  </sheetViews>
  <sheetFormatPr defaultColWidth="9.140625" defaultRowHeight="12.75"/>
  <cols>
    <col min="1" max="1" width="4.8515625" style="0" customWidth="1"/>
  </cols>
  <sheetData/>
  <printOptions/>
  <pageMargins left="0.85" right="0.58" top="1.19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ECECS</dc:creator>
  <cp:keywords/>
  <dc:description/>
  <cp:lastModifiedBy>Administrator</cp:lastModifiedBy>
  <cp:lastPrinted>2001-05-29T19:55:36Z</cp:lastPrinted>
  <dcterms:created xsi:type="dcterms:W3CDTF">1998-06-02T19:01:42Z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